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628"/>
  <workbookPr codeName="ThisWorkbook" defaultThemeVersion="166925"/>
  <mc:AlternateContent xmlns:mc="http://schemas.openxmlformats.org/markup-compatibility/2006">
    <mc:Choice Requires="x15">
      <x15ac:absPath xmlns:x15ac="http://schemas.microsoft.com/office/spreadsheetml/2010/11/ac" url="https://uwprod.sharepoint.com/sites/icecubeupgrade/Pole Planning/Upgrade Logistics/Cargo/"/>
    </mc:Choice>
  </mc:AlternateContent>
  <xr:revisionPtr revIDLastSave="25" documentId="8_{D83385BF-1EE8-CB47-BC71-8D83435B78D0}" xr6:coauthVersionLast="47" xr6:coauthVersionMax="47" xr10:uidLastSave="{0F540579-7E60-4E56-9DAB-12046E308D1E}"/>
  <bookViews>
    <workbookView xWindow="4280" yWindow="500" windowWidth="28800" windowHeight="15840" xr2:uid="{17478D1A-0FB5-4DDC-8E50-16A6DB92C1CB}"/>
  </bookViews>
  <sheets>
    <sheet name="ICU_cargo MASTER INPUT SHEET" sheetId="2" r:id="rId1"/>
    <sheet name="Summary tables" sheetId="22" r:id="rId2"/>
    <sheet name="Southbound by Season" sheetId="16" r:id="rId3"/>
    <sheet name="Retro" sheetId="18" r:id="rId4"/>
    <sheet name="InMcMurdo" sheetId="13" r:id="rId5"/>
    <sheet name="FY22 inter" sheetId="4" r:id="rId6"/>
    <sheet name="FY23 inter" sheetId="5" r:id="rId7"/>
    <sheet name="FY23 intra" sheetId="10" r:id="rId8"/>
    <sheet name="FY24 inter" sheetId="19" r:id="rId9"/>
    <sheet name="FY24 intra" sheetId="14" r:id="rId10"/>
    <sheet name="FY25 inter" sheetId="20" r:id="rId11"/>
    <sheet name="FY25 intra" sheetId="21" r:id="rId12"/>
  </sheets>
  <definedNames>
    <definedName name="_xlnm._FilterDatabase" localSheetId="5" hidden="1">'FY22 inter'!$A$1:$AN$93</definedName>
    <definedName name="_xlnm._FilterDatabase" localSheetId="6" hidden="1">'FY23 inter'!$A$1:$AN$93</definedName>
    <definedName name="_xlnm._FilterDatabase" localSheetId="7" hidden="1">'FY23 intra'!$A$1:$AN$93</definedName>
    <definedName name="_xlnm._FilterDatabase" localSheetId="8" hidden="1">'FY24 inter'!$A$1:$AN$93</definedName>
    <definedName name="_xlnm._FilterDatabase" localSheetId="9" hidden="1">'FY24 intra'!$A$1:$AN$93</definedName>
    <definedName name="_xlnm._FilterDatabase" localSheetId="10" hidden="1">'FY25 inter'!$A$1:$AN$93</definedName>
    <definedName name="_xlnm._FilterDatabase" localSheetId="11" hidden="1">'FY25 intra'!$A$1:$AN$93</definedName>
    <definedName name="_xlnm._FilterDatabase" localSheetId="0" hidden="1">'ICU_cargo MASTER INPUT SHEET'!$A$1:$AL$93</definedName>
    <definedName name="_xlnm._FilterDatabase" localSheetId="4" hidden="1">InMcMurdo!$A$1:$AN$93</definedName>
    <definedName name="_xlnm._FilterDatabase" localSheetId="3" hidden="1">Retro!#REF!</definedName>
    <definedName name="cargo_table">'ICU_cargo MASTER INPUT SHEET'!$A$1:$AL$93</definedName>
    <definedName name="end_FY">'ICU_cargo MASTER INPUT SHEET'!$B$127:$B$130</definedName>
    <definedName name="_xlnm.Extract" localSheetId="0">'ICU_cargo MASTER INPUT SHEET'!#REF!</definedName>
    <definedName name="Fuel_to_support_FY25_field_season_____Base_fuel___deep_drilling">'ICU_cargo MASTER INPUT SHEET'!$D$93</definedName>
    <definedName name="FY_dates">'ICU_cargo MASTER INPUT SHEET'!$A$127:$B$130</definedName>
    <definedName name="inter_label">'ICU_cargo MASTER INPUT SHEET'!$C$127:$C$130</definedName>
    <definedName name="inter_shipping_label">'ICU_cargo MASTER INPUT SHEET'!$AE$1:$AE$93</definedName>
    <definedName name="intra_label">'ICU_cargo MASTER INPUT SHEET'!$D$127:$D$130</definedName>
    <definedName name="intra_shipping_label">'ICU_cargo MASTER INPUT SHEET'!$AF$1:$AF$93</definedName>
    <definedName name="mcMurdo_date">'ICU_cargo MASTER INPUT SHEET'!$Z:$Z</definedName>
    <definedName name="pole_date">'ICU_cargo MASTER INPUT SHEET'!$AC:$AC</definedName>
    <definedName name="start_FY">'ICU_cargo MASTER INPUT SHEET'!$A$127:$A$130</definedName>
    <definedName name="volume">'ICU_cargo MASTER INPUT SHEET'!$I:$I</definedName>
    <definedName name="weight">'ICU_cargo MASTER INPUT SHEET'!#REF!</definedName>
    <definedName name="weight_">'ICU_cargo MASTER INPUT SHEET'!$K:$K</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0" i="2" l="1"/>
  <c r="AM1" i="16"/>
  <c r="AK1" i="16"/>
  <c r="Z1" i="16"/>
  <c r="AA1" i="16"/>
  <c r="AB1" i="16"/>
  <c r="AC1" i="16"/>
  <c r="AD1" i="16"/>
  <c r="AE1" i="16"/>
  <c r="AF1" i="16"/>
  <c r="AG1" i="16"/>
  <c r="AH1" i="16"/>
  <c r="AI1" i="16"/>
  <c r="AJ1" i="16"/>
  <c r="O1" i="16"/>
  <c r="P1" i="16"/>
  <c r="Q1" i="16"/>
  <c r="R1" i="16"/>
  <c r="S1" i="16"/>
  <c r="T1" i="16"/>
  <c r="U1" i="16"/>
  <c r="V1" i="16"/>
  <c r="W1" i="16"/>
  <c r="X1" i="16"/>
  <c r="Y1" i="16"/>
  <c r="B1" i="16"/>
  <c r="C1" i="16"/>
  <c r="D1" i="16"/>
  <c r="E1" i="16"/>
  <c r="F1" i="16"/>
  <c r="G1" i="16"/>
  <c r="H1" i="16"/>
  <c r="I1" i="16"/>
  <c r="J1" i="16"/>
  <c r="K1" i="16"/>
  <c r="L1" i="16"/>
  <c r="M1" i="16"/>
  <c r="N1" i="16"/>
  <c r="A1" i="16"/>
  <c r="O21" i="2"/>
  <c r="A3" i="16" a="1"/>
  <c r="A3" i="16"/>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9" i="2"/>
  <c r="O60" i="2"/>
  <c r="O61" i="2"/>
  <c r="O62" i="2"/>
  <c r="O63" i="2"/>
  <c r="O64" i="2"/>
  <c r="O65" i="2"/>
  <c r="O66" i="2"/>
  <c r="O68" i="2"/>
  <c r="O70" i="2"/>
  <c r="O71" i="2"/>
  <c r="O72" i="2"/>
  <c r="O73" i="2"/>
  <c r="O74" i="2"/>
  <c r="O75" i="2"/>
  <c r="O76" i="2"/>
  <c r="O77" i="2"/>
  <c r="O79" i="2"/>
  <c r="O80" i="2"/>
  <c r="O81" i="2"/>
  <c r="O82" i="2"/>
  <c r="O83" i="2"/>
  <c r="O84" i="2"/>
  <c r="O25" i="2"/>
  <c r="O26" i="2"/>
  <c r="O27" i="2"/>
  <c r="O28" i="2"/>
  <c r="O29" i="2"/>
  <c r="O23" i="22"/>
  <c r="O24" i="22"/>
  <c r="O22" i="22"/>
  <c r="O3" i="22"/>
  <c r="B81" i="22" a="1"/>
  <c r="B81" i="22"/>
  <c r="B129" i="22" a="1"/>
  <c r="B115" i="22" a="1"/>
  <c r="B101" i="22" a="1"/>
  <c r="AE31" i="2"/>
  <c r="O7" i="22"/>
  <c r="O6" i="22"/>
  <c r="O10" i="22"/>
  <c r="I91" i="2"/>
  <c r="I88" i="2"/>
  <c r="I87" i="2"/>
  <c r="I86" i="2"/>
  <c r="K86" i="2"/>
  <c r="F16" i="22"/>
  <c r="K91" i="2"/>
  <c r="AF87" i="2"/>
  <c r="AE87" i="2"/>
  <c r="K87" i="2"/>
  <c r="H22" i="18"/>
  <c r="I22" i="18"/>
  <c r="AE2" i="2"/>
  <c r="AF2" i="2"/>
  <c r="AE3" i="2"/>
  <c r="AF3" i="2"/>
  <c r="AE4" i="2"/>
  <c r="AF4" i="2"/>
  <c r="AE5" i="2"/>
  <c r="AF5" i="2"/>
  <c r="AE6" i="2"/>
  <c r="AF6" i="2"/>
  <c r="AE7" i="2"/>
  <c r="AF7" i="2"/>
  <c r="AE8" i="2"/>
  <c r="AF8" i="2"/>
  <c r="AE9" i="2"/>
  <c r="AF9" i="2"/>
  <c r="AE10" i="2"/>
  <c r="AF10" i="2"/>
  <c r="AE11" i="2"/>
  <c r="AF11" i="2"/>
  <c r="AE12" i="2"/>
  <c r="AF12" i="2"/>
  <c r="AE13" i="2"/>
  <c r="AF13" i="2"/>
  <c r="AE14" i="2"/>
  <c r="AF14" i="2"/>
  <c r="AE15" i="2"/>
  <c r="AF15" i="2"/>
  <c r="AE16" i="2"/>
  <c r="AF16" i="2"/>
  <c r="AE17" i="2"/>
  <c r="AF17" i="2"/>
  <c r="AE18" i="2"/>
  <c r="AF18" i="2"/>
  <c r="AE19" i="2"/>
  <c r="AF19" i="2"/>
  <c r="AE20" i="2"/>
  <c r="AF20" i="2"/>
  <c r="AE21" i="2"/>
  <c r="AF21" i="2"/>
  <c r="AE22" i="2"/>
  <c r="AF22" i="2"/>
  <c r="AE23" i="2"/>
  <c r="AF23" i="2"/>
  <c r="AE24" i="2"/>
  <c r="AF24" i="2"/>
  <c r="AE25" i="2"/>
  <c r="AF25" i="2"/>
  <c r="AE26" i="2"/>
  <c r="AF26" i="2"/>
  <c r="AE27" i="2"/>
  <c r="AF27" i="2"/>
  <c r="AE28" i="2"/>
  <c r="AF28" i="2"/>
  <c r="AE29" i="2"/>
  <c r="AF29" i="2"/>
  <c r="AE30" i="2"/>
  <c r="AF30" i="2"/>
  <c r="AF31" i="2"/>
  <c r="AE32" i="2"/>
  <c r="AF32" i="2"/>
  <c r="AE33" i="2"/>
  <c r="AF33" i="2"/>
  <c r="AE34" i="2"/>
  <c r="AF34" i="2"/>
  <c r="AE35" i="2"/>
  <c r="AF35" i="2"/>
  <c r="AE36" i="2"/>
  <c r="AF36" i="2"/>
  <c r="AE37" i="2"/>
  <c r="AF37" i="2"/>
  <c r="AE38" i="2"/>
  <c r="AF38" i="2"/>
  <c r="AE39" i="2"/>
  <c r="AF39" i="2"/>
  <c r="AE40" i="2"/>
  <c r="AF40" i="2"/>
  <c r="AE41" i="2"/>
  <c r="AF41" i="2"/>
  <c r="AE42" i="2"/>
  <c r="AF42" i="2"/>
  <c r="AE43" i="2"/>
  <c r="AF43" i="2"/>
  <c r="AE44" i="2"/>
  <c r="AF44" i="2"/>
  <c r="AE45" i="2"/>
  <c r="AF45" i="2"/>
  <c r="AE46" i="2"/>
  <c r="AF46" i="2"/>
  <c r="AE47" i="2"/>
  <c r="AF47" i="2"/>
  <c r="AE48" i="2"/>
  <c r="AF48" i="2"/>
  <c r="AE49" i="2"/>
  <c r="AF49" i="2"/>
  <c r="AE50" i="2"/>
  <c r="AF50" i="2"/>
  <c r="AE51" i="2"/>
  <c r="AF51" i="2"/>
  <c r="AE52" i="2"/>
  <c r="AF52" i="2"/>
  <c r="AE53" i="2"/>
  <c r="AF53" i="2"/>
  <c r="AE54" i="2"/>
  <c r="AF54" i="2"/>
  <c r="AE55" i="2"/>
  <c r="AF55" i="2"/>
  <c r="AE56" i="2"/>
  <c r="AF56" i="2"/>
  <c r="AE57" i="2"/>
  <c r="AF57" i="2"/>
  <c r="AE58" i="2"/>
  <c r="AF58" i="2"/>
  <c r="AE59" i="2"/>
  <c r="AF59" i="2"/>
  <c r="AE60" i="2"/>
  <c r="AF60" i="2"/>
  <c r="AE61" i="2"/>
  <c r="AF61" i="2"/>
  <c r="AE62" i="2"/>
  <c r="AF62" i="2"/>
  <c r="AE63" i="2"/>
  <c r="AF63" i="2"/>
  <c r="AE64" i="2"/>
  <c r="AF64" i="2"/>
  <c r="AE65" i="2"/>
  <c r="AF65" i="2"/>
  <c r="AE66" i="2"/>
  <c r="AF66" i="2"/>
  <c r="AE67" i="2"/>
  <c r="AF67" i="2"/>
  <c r="AE68" i="2"/>
  <c r="AF68" i="2"/>
  <c r="AE69" i="2"/>
  <c r="AF69" i="2"/>
  <c r="AE70" i="2"/>
  <c r="AF70" i="2"/>
  <c r="AE71" i="2"/>
  <c r="AF71" i="2"/>
  <c r="AE72" i="2"/>
  <c r="AF72" i="2"/>
  <c r="AE73" i="2"/>
  <c r="AF73" i="2"/>
  <c r="AE74" i="2"/>
  <c r="AF74" i="2"/>
  <c r="AE75" i="2"/>
  <c r="AF75" i="2"/>
  <c r="AE76" i="2"/>
  <c r="AF76" i="2"/>
  <c r="AE77" i="2"/>
  <c r="AF77" i="2"/>
  <c r="AE78" i="2"/>
  <c r="AF78" i="2"/>
  <c r="AE79" i="2"/>
  <c r="AF79" i="2"/>
  <c r="AE80" i="2"/>
  <c r="AF80" i="2"/>
  <c r="AE81" i="2"/>
  <c r="AF81" i="2"/>
  <c r="AE82" i="2"/>
  <c r="AF82" i="2"/>
  <c r="AE83" i="2"/>
  <c r="AF83" i="2"/>
  <c r="AE84" i="2"/>
  <c r="AF84" i="2"/>
  <c r="AE85" i="2"/>
  <c r="AF85" i="2"/>
  <c r="AE86" i="2"/>
  <c r="AF86" i="2"/>
  <c r="AE88" i="2"/>
  <c r="AF88" i="2"/>
  <c r="AE89" i="2"/>
  <c r="AF89" i="2"/>
  <c r="AE90" i="2"/>
  <c r="AF90" i="2"/>
  <c r="AE91" i="2"/>
  <c r="AF91" i="2"/>
  <c r="I65" i="2"/>
  <c r="K65" i="2"/>
  <c r="I59" i="2"/>
  <c r="I60" i="2"/>
  <c r="I61" i="2"/>
  <c r="I62" i="2"/>
  <c r="I63" i="2"/>
  <c r="I64" i="2"/>
  <c r="I66" i="2"/>
  <c r="I67" i="2"/>
  <c r="H67" i="2"/>
  <c r="K59" i="2"/>
  <c r="K67" i="2"/>
  <c r="K60" i="2"/>
  <c r="K61" i="2"/>
  <c r="K62" i="2"/>
  <c r="K63" i="2"/>
  <c r="K64" i="2"/>
  <c r="K66" i="2"/>
  <c r="I2" i="2"/>
  <c r="D14" i="22"/>
  <c r="I3" i="2"/>
  <c r="I4" i="2"/>
  <c r="I5" i="2"/>
  <c r="C30" i="22"/>
  <c r="I6" i="2"/>
  <c r="C24" i="22"/>
  <c r="P24" i="22"/>
  <c r="C41" i="22"/>
  <c r="I7" i="2"/>
  <c r="C22" i="22"/>
  <c r="P22" i="22"/>
  <c r="I8" i="2"/>
  <c r="I9" i="2"/>
  <c r="I10" i="2"/>
  <c r="C27" i="22"/>
  <c r="I11" i="2"/>
  <c r="I12" i="2"/>
  <c r="I14" i="2"/>
  <c r="I19" i="2"/>
  <c r="H19" i="2"/>
  <c r="I15" i="2"/>
  <c r="I16" i="2"/>
  <c r="I17" i="2"/>
  <c r="I18" i="2"/>
  <c r="I20" i="2"/>
  <c r="I58" i="2"/>
  <c r="H58" i="2"/>
  <c r="I21" i="2"/>
  <c r="I22" i="2"/>
  <c r="I23" i="2"/>
  <c r="C23" i="22"/>
  <c r="P23" i="22"/>
  <c r="I24" i="2"/>
  <c r="I25" i="2"/>
  <c r="I26" i="2"/>
  <c r="C29" i="22"/>
  <c r="I27" i="2"/>
  <c r="I28" i="2"/>
  <c r="I29" i="2"/>
  <c r="I30" i="2"/>
  <c r="I31" i="2"/>
  <c r="C25" i="22"/>
  <c r="I32" i="2"/>
  <c r="I33" i="2"/>
  <c r="C26" i="22"/>
  <c r="P26" i="22"/>
  <c r="I34" i="2"/>
  <c r="D9" i="22"/>
  <c r="P6" i="22"/>
  <c r="C38" i="22"/>
  <c r="I35" i="2"/>
  <c r="C28" i="22"/>
  <c r="I36" i="2"/>
  <c r="I37" i="2"/>
  <c r="I38" i="2"/>
  <c r="I39" i="2"/>
  <c r="I40" i="2"/>
  <c r="I41" i="2"/>
  <c r="I42" i="2"/>
  <c r="I43" i="2"/>
  <c r="I44" i="2"/>
  <c r="I45" i="2"/>
  <c r="I46" i="2"/>
  <c r="I47" i="2"/>
  <c r="I48" i="2"/>
  <c r="I49" i="2"/>
  <c r="I50" i="2"/>
  <c r="I51" i="2"/>
  <c r="I52" i="2"/>
  <c r="I53" i="2"/>
  <c r="I54" i="2"/>
  <c r="I55" i="2"/>
  <c r="I56" i="2"/>
  <c r="I57" i="2"/>
  <c r="I68" i="2"/>
  <c r="D7" i="22"/>
  <c r="I69" i="2"/>
  <c r="I70" i="2"/>
  <c r="I71" i="2"/>
  <c r="I78" i="2"/>
  <c r="H78" i="2"/>
  <c r="I72" i="2"/>
  <c r="I73" i="2"/>
  <c r="I74" i="2"/>
  <c r="I75" i="2"/>
  <c r="D5" i="22"/>
  <c r="I76" i="2"/>
  <c r="I77" i="2"/>
  <c r="D6" i="22"/>
  <c r="I79" i="2"/>
  <c r="I80" i="2"/>
  <c r="I81" i="2"/>
  <c r="I82" i="2"/>
  <c r="I83" i="2"/>
  <c r="I84" i="2"/>
  <c r="I89" i="2"/>
  <c r="I92" i="2"/>
  <c r="H92" i="2"/>
  <c r="I90" i="2"/>
  <c r="K2" i="2"/>
  <c r="K3" i="2"/>
  <c r="K4" i="2"/>
  <c r="K5" i="2"/>
  <c r="E30" i="22"/>
  <c r="K6" i="2"/>
  <c r="E24" i="22"/>
  <c r="R24" i="22"/>
  <c r="E41" i="22"/>
  <c r="K7" i="2"/>
  <c r="E22" i="22"/>
  <c r="R22" i="22"/>
  <c r="K8" i="2"/>
  <c r="K9" i="2"/>
  <c r="K10" i="2"/>
  <c r="E27" i="22"/>
  <c r="K11" i="2"/>
  <c r="K12" i="2"/>
  <c r="K14" i="2"/>
  <c r="K19" i="2"/>
  <c r="K15" i="2"/>
  <c r="K16" i="2"/>
  <c r="K17" i="2"/>
  <c r="K18" i="2"/>
  <c r="K20" i="2"/>
  <c r="K21" i="2"/>
  <c r="K22" i="2"/>
  <c r="K23" i="2"/>
  <c r="K24" i="2"/>
  <c r="K25" i="2"/>
  <c r="K26" i="2"/>
  <c r="K27" i="2"/>
  <c r="K28" i="2"/>
  <c r="K29" i="2"/>
  <c r="K30" i="2"/>
  <c r="K31" i="2"/>
  <c r="E25" i="22"/>
  <c r="K32" i="2"/>
  <c r="K33" i="2"/>
  <c r="E26" i="22"/>
  <c r="R26" i="22"/>
  <c r="K34" i="2"/>
  <c r="F9" i="22"/>
  <c r="R6" i="22"/>
  <c r="E38" i="22"/>
  <c r="K35" i="2"/>
  <c r="E28" i="22"/>
  <c r="K36" i="2"/>
  <c r="K37" i="2"/>
  <c r="K38" i="2"/>
  <c r="K39" i="2"/>
  <c r="K40" i="2"/>
  <c r="K41" i="2"/>
  <c r="K42" i="2"/>
  <c r="K43" i="2"/>
  <c r="K44" i="2"/>
  <c r="K45" i="2"/>
  <c r="K46" i="2"/>
  <c r="K47" i="2"/>
  <c r="K48" i="2"/>
  <c r="K49" i="2"/>
  <c r="K50" i="2"/>
  <c r="K51" i="2"/>
  <c r="K52" i="2"/>
  <c r="K53" i="2"/>
  <c r="K54" i="2"/>
  <c r="K55" i="2"/>
  <c r="K56" i="2"/>
  <c r="K57" i="2"/>
  <c r="K68" i="2"/>
  <c r="K69" i="2"/>
  <c r="K70" i="2"/>
  <c r="K78" i="2"/>
  <c r="K71" i="2"/>
  <c r="K72" i="2"/>
  <c r="K73" i="2"/>
  <c r="K74" i="2"/>
  <c r="K75" i="2"/>
  <c r="K76" i="2"/>
  <c r="K77" i="2"/>
  <c r="K79" i="2"/>
  <c r="K80" i="2"/>
  <c r="K81" i="2"/>
  <c r="K82" i="2"/>
  <c r="K83" i="2"/>
  <c r="K84" i="2"/>
  <c r="K88" i="2"/>
  <c r="K89" i="2"/>
  <c r="K92" i="2"/>
  <c r="K90" i="2"/>
  <c r="H69" i="2"/>
  <c r="A120" i="5"/>
  <c r="B120" i="5"/>
  <c r="D117" i="5"/>
  <c r="A120" i="10"/>
  <c r="C117" i="10"/>
  <c r="B120" i="10"/>
  <c r="A120" i="14"/>
  <c r="C117" i="14"/>
  <c r="B120" i="14"/>
  <c r="A120" i="21"/>
  <c r="B120" i="21"/>
  <c r="A120" i="4"/>
  <c r="B120" i="4"/>
  <c r="A120" i="19"/>
  <c r="C117" i="19"/>
  <c r="B120" i="19"/>
  <c r="A120" i="20"/>
  <c r="B120" i="20"/>
  <c r="C117" i="5"/>
  <c r="C120" i="13"/>
  <c r="I4" i="18"/>
  <c r="H4" i="18"/>
  <c r="I9" i="18"/>
  <c r="H9" i="18"/>
  <c r="P25" i="22"/>
  <c r="C42" i="22"/>
  <c r="F6" i="22"/>
  <c r="F11" i="22"/>
  <c r="E23" i="22"/>
  <c r="R23" i="22"/>
  <c r="E40" i="22"/>
  <c r="D11" i="22"/>
  <c r="E29" i="22"/>
  <c r="R27" i="22"/>
  <c r="F5" i="22"/>
  <c r="I13" i="2"/>
  <c r="H13" i="2"/>
  <c r="C40" i="22"/>
  <c r="P27" i="22"/>
  <c r="C43" i="22"/>
  <c r="R25" i="22"/>
  <c r="E42" i="22"/>
  <c r="E31" i="22"/>
  <c r="C31" i="22"/>
  <c r="D117" i="20"/>
  <c r="C87" i="22"/>
  <c r="F4" i="22"/>
  <c r="G82" i="22"/>
  <c r="C86" i="22"/>
  <c r="C85" i="22"/>
  <c r="F7" i="22"/>
  <c r="F8" i="22"/>
  <c r="F10" i="22"/>
  <c r="R7" i="22"/>
  <c r="F12" i="22"/>
  <c r="R8" i="22"/>
  <c r="E39" i="22"/>
  <c r="C82" i="22"/>
  <c r="C81" i="22"/>
  <c r="C117" i="21"/>
  <c r="F82" i="22"/>
  <c r="D8" i="22"/>
  <c r="D10" i="22"/>
  <c r="P7" i="22"/>
  <c r="D12" i="22"/>
  <c r="P8" i="22"/>
  <c r="C39" i="22"/>
  <c r="P10" i="22"/>
  <c r="C84" i="22"/>
  <c r="F3" i="22"/>
  <c r="D3" i="22"/>
  <c r="R12" i="22"/>
  <c r="D16" i="22"/>
  <c r="P12" i="22"/>
  <c r="B101" i="22"/>
  <c r="C101" i="22"/>
  <c r="C103" i="22"/>
  <c r="C109" i="22"/>
  <c r="C102" i="22"/>
  <c r="C104" i="22"/>
  <c r="C110" i="22"/>
  <c r="D102" i="22"/>
  <c r="D103" i="22"/>
  <c r="D109" i="22"/>
  <c r="D104" i="22"/>
  <c r="D110" i="22"/>
  <c r="B115" i="22"/>
  <c r="D116" i="22"/>
  <c r="D117" i="22"/>
  <c r="D123" i="22"/>
  <c r="D118" i="22"/>
  <c r="D124" i="22"/>
  <c r="C116" i="22"/>
  <c r="C117" i="22"/>
  <c r="C118" i="22"/>
  <c r="C124" i="22"/>
  <c r="D130" i="22"/>
  <c r="D131" i="22"/>
  <c r="D137" i="22"/>
  <c r="D132" i="22"/>
  <c r="D138" i="22"/>
  <c r="C130" i="22"/>
  <c r="C131" i="22"/>
  <c r="C137" i="22"/>
  <c r="C132" i="22"/>
  <c r="C138" i="22"/>
  <c r="D117" i="4"/>
  <c r="K13" i="2"/>
  <c r="F14" i="22"/>
  <c r="R10" i="22"/>
  <c r="D117" i="10"/>
  <c r="B129" i="22"/>
  <c r="C123" i="22"/>
  <c r="C117" i="4"/>
  <c r="A165" i="16" a="1"/>
  <c r="A165" i="16"/>
  <c r="A36" i="16" a="1"/>
  <c r="A36" i="16"/>
  <c r="A58" i="16" a="1"/>
  <c r="A58" i="16"/>
  <c r="A92" i="16" a="1"/>
  <c r="A92" i="16"/>
  <c r="A16" i="16" a="1"/>
  <c r="A16" i="16"/>
  <c r="A140" i="16" a="1"/>
  <c r="A140" i="16"/>
  <c r="C83" i="22"/>
  <c r="K58" i="2"/>
  <c r="D117" i="21"/>
  <c r="D117" i="19"/>
  <c r="D117" i="14"/>
  <c r="K85" i="2"/>
  <c r="D4" i="22"/>
  <c r="C117" i="20"/>
  <c r="C124" i="2"/>
  <c r="I85" i="2"/>
  <c r="P5" i="22"/>
  <c r="R5" i="22"/>
  <c r="P28" i="22"/>
  <c r="E43" i="22"/>
  <c r="R28" i="22"/>
  <c r="D13" i="22"/>
  <c r="D15" i="22"/>
  <c r="F13" i="22"/>
  <c r="D101" i="22"/>
  <c r="D105" i="22"/>
  <c r="C108" i="22"/>
  <c r="C111" i="22"/>
  <c r="C105" i="22"/>
  <c r="C88" i="22"/>
  <c r="P3" i="22"/>
  <c r="C37" i="22"/>
  <c r="C32" i="22"/>
  <c r="P29" i="22"/>
  <c r="R3" i="22"/>
  <c r="E37" i="22"/>
  <c r="E32" i="22"/>
  <c r="R29" i="22"/>
  <c r="C129" i="22"/>
  <c r="C133" i="22"/>
  <c r="D129" i="22"/>
  <c r="D133" i="22"/>
  <c r="D115" i="22"/>
  <c r="D119" i="22"/>
  <c r="C115" i="22"/>
  <c r="C122" i="22"/>
  <c r="D124" i="2"/>
  <c r="I188" i="16"/>
  <c r="K188" i="16"/>
  <c r="I31" i="16"/>
  <c r="I11" i="16"/>
  <c r="K11" i="16"/>
  <c r="I53" i="16"/>
  <c r="K31" i="16"/>
  <c r="K53" i="16"/>
  <c r="I135" i="16"/>
  <c r="K135" i="16"/>
  <c r="K160" i="16"/>
  <c r="I160" i="16"/>
  <c r="K87" i="16"/>
  <c r="I87" i="16"/>
  <c r="K93" i="2"/>
  <c r="P4" i="22"/>
  <c r="C36" i="22"/>
  <c r="C44" i="22"/>
  <c r="R4" i="22"/>
  <c r="E36" i="22"/>
  <c r="H85" i="2"/>
  <c r="I93" i="2"/>
  <c r="I191" i="16"/>
  <c r="E44" i="22"/>
  <c r="D108" i="22"/>
  <c r="D111" i="22"/>
  <c r="R30" i="22"/>
  <c r="E13" i="22"/>
  <c r="E9" i="22"/>
  <c r="E8" i="22"/>
  <c r="E4" i="22"/>
  <c r="E14" i="22"/>
  <c r="E6" i="22"/>
  <c r="E10" i="22"/>
  <c r="E5" i="22"/>
  <c r="E12" i="22"/>
  <c r="D17" i="22"/>
  <c r="J6" i="22"/>
  <c r="E7" i="22"/>
  <c r="E3" i="22"/>
  <c r="E11" i="22"/>
  <c r="F15" i="22"/>
  <c r="G13" i="22"/>
  <c r="P30" i="22"/>
  <c r="C119" i="22"/>
  <c r="R9" i="22"/>
  <c r="P9" i="22"/>
  <c r="P11" i="22"/>
  <c r="E33" i="22"/>
  <c r="C33" i="22"/>
  <c r="C69" i="22"/>
  <c r="F81" i="22"/>
  <c r="C136" i="22"/>
  <c r="C139" i="22"/>
  <c r="D136" i="22"/>
  <c r="D139" i="22"/>
  <c r="C125" i="22"/>
  <c r="D122" i="22"/>
  <c r="D125" i="22"/>
  <c r="K192" i="16"/>
  <c r="K191" i="16"/>
  <c r="I192" i="16"/>
  <c r="E69" i="22"/>
  <c r="G81" i="22"/>
  <c r="J10" i="22"/>
  <c r="P13" i="22"/>
  <c r="J15" i="22"/>
  <c r="J7" i="22"/>
  <c r="J11" i="22"/>
  <c r="J4" i="22"/>
  <c r="J12" i="22"/>
  <c r="J3" i="22"/>
  <c r="J13" i="22"/>
  <c r="H93" i="2"/>
  <c r="A1" i="5" a="1"/>
  <c r="A1" i="20" a="1"/>
  <c r="J8" i="22"/>
  <c r="Q3" i="22"/>
  <c r="Q5" i="22"/>
  <c r="Q10" i="22"/>
  <c r="S23" i="22"/>
  <c r="S24" i="22"/>
  <c r="F41" i="22"/>
  <c r="S25" i="22"/>
  <c r="S29" i="22"/>
  <c r="S26" i="22"/>
  <c r="S30" i="22"/>
  <c r="S27" i="22"/>
  <c r="F43" i="22"/>
  <c r="S22" i="22"/>
  <c r="S28" i="22"/>
  <c r="J9" i="22"/>
  <c r="J16" i="22"/>
  <c r="J5" i="22"/>
  <c r="Q8" i="22"/>
  <c r="D39" i="22"/>
  <c r="Q4" i="22"/>
  <c r="D36" i="22"/>
  <c r="Q7" i="22"/>
  <c r="Q6" i="22"/>
  <c r="D38" i="22"/>
  <c r="E15" i="22"/>
  <c r="R11" i="22"/>
  <c r="S9" i="22"/>
  <c r="Q30" i="22"/>
  <c r="Q27" i="22"/>
  <c r="D43" i="22"/>
  <c r="Q23" i="22"/>
  <c r="Q25" i="22"/>
  <c r="Q22" i="22"/>
  <c r="D40" i="22"/>
  <c r="Q26" i="22"/>
  <c r="Q24" i="22"/>
  <c r="D41" i="22"/>
  <c r="Q28" i="22"/>
  <c r="Q29" i="22"/>
  <c r="Q9" i="22"/>
  <c r="G5" i="22"/>
  <c r="G6" i="22"/>
  <c r="G11" i="22"/>
  <c r="G7" i="22"/>
  <c r="G4" i="22"/>
  <c r="G9" i="22"/>
  <c r="G14" i="22"/>
  <c r="G15" i="22"/>
  <c r="G10" i="22"/>
  <c r="G12" i="22"/>
  <c r="G3" i="22"/>
  <c r="F17" i="22"/>
  <c r="G8" i="22"/>
  <c r="Q11" i="22"/>
  <c r="D25" i="22"/>
  <c r="D26" i="22"/>
  <c r="D30" i="22"/>
  <c r="D28" i="22"/>
  <c r="D23" i="22"/>
  <c r="D24" i="22"/>
  <c r="D29" i="22"/>
  <c r="D22" i="22"/>
  <c r="D27" i="22"/>
  <c r="D31" i="22"/>
  <c r="D32" i="22"/>
  <c r="F22" i="22"/>
  <c r="F23" i="22"/>
  <c r="F24" i="22"/>
  <c r="F25" i="22"/>
  <c r="F26" i="22"/>
  <c r="F27" i="22"/>
  <c r="F28" i="22"/>
  <c r="F29" i="22"/>
  <c r="F30" i="22"/>
  <c r="F31" i="22"/>
  <c r="F32" i="22"/>
  <c r="A1" i="21" a="1"/>
  <c r="C116" i="21"/>
  <c r="A1" i="4" a="1"/>
  <c r="A1" i="4"/>
  <c r="A1" i="13" a="1"/>
  <c r="A1" i="14" a="1"/>
  <c r="A1" i="14"/>
  <c r="A1" i="19" a="1"/>
  <c r="C116" i="19"/>
  <c r="A1" i="10" a="1"/>
  <c r="A1" i="10"/>
  <c r="A1" i="5"/>
  <c r="C116" i="5"/>
  <c r="D116" i="5"/>
  <c r="D116" i="20"/>
  <c r="C116" i="20"/>
  <c r="A1" i="20"/>
  <c r="D116" i="13"/>
  <c r="K21" i="22"/>
  <c r="C117" i="13"/>
  <c r="C123" i="2"/>
  <c r="D117" i="13"/>
  <c r="D123" i="2"/>
  <c r="F40" i="22"/>
  <c r="D42" i="22"/>
  <c r="D37" i="22"/>
  <c r="F42" i="22"/>
  <c r="K6" i="22"/>
  <c r="K7" i="22"/>
  <c r="K9" i="22"/>
  <c r="K13" i="22"/>
  <c r="K10" i="22"/>
  <c r="K15" i="22"/>
  <c r="K12" i="22"/>
  <c r="K3" i="22"/>
  <c r="K5" i="22"/>
  <c r="K11" i="22"/>
  <c r="K8" i="22"/>
  <c r="K4" i="22"/>
  <c r="S5" i="22"/>
  <c r="R13" i="22"/>
  <c r="S10" i="22"/>
  <c r="S11" i="22"/>
  <c r="S8" i="22"/>
  <c r="F39" i="22"/>
  <c r="S4" i="22"/>
  <c r="F36" i="22"/>
  <c r="S3" i="22"/>
  <c r="S6" i="22"/>
  <c r="F38" i="22"/>
  <c r="S7" i="22"/>
  <c r="F33" i="22"/>
  <c r="D33" i="22"/>
  <c r="C116" i="4"/>
  <c r="J22" i="22"/>
  <c r="L22" i="22"/>
  <c r="D116" i="4"/>
  <c r="E55" i="22"/>
  <c r="A1" i="21"/>
  <c r="D116" i="21"/>
  <c r="E66" i="22"/>
  <c r="F66" i="22"/>
  <c r="C116" i="13"/>
  <c r="I190" i="16"/>
  <c r="A1" i="13"/>
  <c r="D116" i="14"/>
  <c r="K31" i="22"/>
  <c r="C116" i="14"/>
  <c r="J31" i="22"/>
  <c r="L31" i="22"/>
  <c r="C116" i="10"/>
  <c r="C64" i="22"/>
  <c r="A1" i="19"/>
  <c r="D116" i="10"/>
  <c r="K30" i="22"/>
  <c r="D116" i="19"/>
  <c r="K24" i="22"/>
  <c r="J25" i="22"/>
  <c r="L25" i="22"/>
  <c r="C58" i="22"/>
  <c r="K25" i="22"/>
  <c r="E58" i="22"/>
  <c r="C66" i="22"/>
  <c r="D66" i="22"/>
  <c r="J32" i="22"/>
  <c r="L32" i="22"/>
  <c r="E56" i="22"/>
  <c r="K23" i="22"/>
  <c r="J24" i="22"/>
  <c r="L24" i="22"/>
  <c r="C57" i="22"/>
  <c r="J23" i="22"/>
  <c r="L23" i="22"/>
  <c r="C56" i="22"/>
  <c r="E60" i="22"/>
  <c r="K190" i="16"/>
  <c r="D44" i="22"/>
  <c r="F37" i="22"/>
  <c r="F44" i="22"/>
  <c r="C55" i="22"/>
  <c r="K16" i="22"/>
  <c r="C60" i="22"/>
  <c r="J21" i="22"/>
  <c r="L21" i="22"/>
  <c r="L26" i="22"/>
  <c r="K22" i="22"/>
  <c r="K26" i="22"/>
  <c r="M21" i="22"/>
  <c r="E65" i="22"/>
  <c r="F65" i="22"/>
  <c r="K32" i="22"/>
  <c r="K33" i="22"/>
  <c r="C119" i="2"/>
  <c r="C65" i="22"/>
  <c r="D65" i="22"/>
  <c r="E64" i="22"/>
  <c r="J30" i="22"/>
  <c r="C120" i="2"/>
  <c r="D120" i="2"/>
  <c r="D119" i="2"/>
  <c r="E57" i="22"/>
  <c r="D64" i="22"/>
  <c r="E59" i="22"/>
  <c r="C59" i="22"/>
  <c r="J26" i="22"/>
  <c r="E67" i="22"/>
  <c r="J33" i="22"/>
  <c r="L30" i="22"/>
  <c r="L33" i="22"/>
  <c r="M30" i="22"/>
  <c r="M31" i="22"/>
  <c r="M32" i="22"/>
  <c r="C67" i="22"/>
  <c r="M24" i="22"/>
  <c r="D67" i="22"/>
  <c r="F64" i="22"/>
  <c r="F67" i="22"/>
  <c r="M25" i="22"/>
  <c r="M22" i="22"/>
  <c r="M23" i="22"/>
  <c r="D56" i="22"/>
  <c r="D57" i="22"/>
  <c r="D58" i="22"/>
  <c r="C61" i="22"/>
  <c r="D55" i="22"/>
  <c r="F55" i="22"/>
  <c r="F56" i="22"/>
  <c r="F58" i="22"/>
  <c r="E61" i="22"/>
  <c r="F57" i="22"/>
  <c r="M26" i="22"/>
  <c r="M33" i="22"/>
  <c r="D59" i="22"/>
  <c r="F59"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Papitashvili, Vladimir O.</author>
  </authors>
  <commentList>
    <comment ref="G13" authorId="0" shapeId="0" xr:uid="{5774A9BE-B9CD-406A-BEB6-AD476BAED285}">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 ref="G19" authorId="0" shapeId="0" xr:uid="{E46FA1A7-718A-44F4-87C3-6E3DE4D64B29}">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 ref="G58" authorId="0" shapeId="0" xr:uid="{04DA31A0-1E48-42B6-8CA7-734EB06A9D25}">
      <text>
        <r>
          <rPr>
            <b/>
            <sz val="9"/>
            <color indexed="81"/>
            <rFont val="Tahoma"/>
            <family val="2"/>
          </rPr>
          <t>TEO  - 2--ft Equvalent Unit
Exterior Dimensions (in feet): 20' long x 8' wide x 8' 6” high =1,360 cubic feet
In this list, a cargo itme' cube takes about 70% of 1,360 cubin feet</t>
        </r>
      </text>
    </comment>
    <comment ref="G67" authorId="0" shapeId="0" xr:uid="{6D5FD737-D9CF-4C93-9FBF-62E2E9CEDB2F}">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 ref="G78" authorId="0" shapeId="0" xr:uid="{D8FDD69A-21E4-4D8B-911D-7BC7E0050813}">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 ref="G85" authorId="0" shapeId="0" xr:uid="{6C304C2B-ABB1-4FAF-A415-84AE0617D4B1}">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 ref="G92" authorId="0" shapeId="0" xr:uid="{FC2F9EFE-3762-4506-85E0-5FA4B65E792A}">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 ref="G93" authorId="0" shapeId="0" xr:uid="{00D15AF4-84A8-4A7D-BECD-F03909FEB785}">
      <text>
        <r>
          <rPr>
            <b/>
            <sz val="9"/>
            <color rgb="FF000000"/>
            <rFont val="Tahoma"/>
            <family val="2"/>
          </rPr>
          <t xml:space="preserve">TEO  - 2--ft Equvalent Unit
</t>
        </r>
        <r>
          <rPr>
            <b/>
            <sz val="9"/>
            <color rgb="FF000000"/>
            <rFont val="Tahoma"/>
            <family val="2"/>
          </rPr>
          <t xml:space="preserve">Exterior Dimensions (in feet): 20' long x 8' wide x 8' 6” high =1,360 cubic feet
</t>
        </r>
        <r>
          <rPr>
            <b/>
            <sz val="9"/>
            <color rgb="FF000000"/>
            <rFont val="Tahoma"/>
            <family val="2"/>
          </rPr>
          <t xml:space="preserve">
</t>
        </r>
        <r>
          <rPr>
            <b/>
            <sz val="9"/>
            <color rgb="FF000000"/>
            <rFont val="Tahoma"/>
            <family val="2"/>
          </rPr>
          <t>In this list, a cargo itme' cube takes about 70% of 1,360 cubin feet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Papitashvili, Vladimir O.</author>
  </authors>
  <commentList>
    <comment ref="G13" authorId="0" shapeId="0" xr:uid="{DE78EB14-A148-EE44-B04B-4B53B8A39C25}">
      <text>
        <r>
          <rPr>
            <b/>
            <sz val="9"/>
            <color indexed="81"/>
            <rFont val="Tahoma"/>
            <family val="2"/>
          </rPr>
          <t>TEO  - 2--ft Equvalent Unit
Exterior Dimensions (in feet): 20' long x 8' wide x 8' 6” high =1,360 cubic feet
In this list, a cargo itme' cube takes about 70% of 1,360 cubin feet</t>
        </r>
      </text>
    </comment>
    <comment ref="G19" authorId="0" shapeId="0" xr:uid="{E041AD5A-1E60-9A4D-A1EB-62E8D1AB062D}">
      <text>
        <r>
          <rPr>
            <b/>
            <sz val="9"/>
            <color indexed="81"/>
            <rFont val="Tahoma"/>
            <family val="2"/>
          </rPr>
          <t>TEO  - 2--ft Equvalent Unit
Exterior Dimensions (in feet): 20' long x 8' wide x 8' 6” high =1,360 cubic feet
In this list, a cargo itme' cube takes about 70% of 1,360 cubin feet</t>
        </r>
      </text>
    </comment>
    <comment ref="G58" authorId="0" shapeId="0" xr:uid="{61B24267-2CEC-2745-AB0A-D1F15D778F8B}">
      <text>
        <r>
          <rPr>
            <b/>
            <sz val="9"/>
            <color indexed="81"/>
            <rFont val="Tahoma"/>
            <family val="2"/>
          </rPr>
          <t>TEO  - 2--ft Equvalent Unit
Exterior Dimensions (in feet): 20' long x 8' wide x 8' 6” high =1,360 cubic feet
In this list, a cargo itme' cube takes about 70% of 1,360 cubin feet</t>
        </r>
      </text>
    </comment>
    <comment ref="G66" authorId="0" shapeId="0" xr:uid="{245644DE-E11C-CA48-9EB2-DE60B7C4E663}">
      <text>
        <r>
          <rPr>
            <b/>
            <sz val="9"/>
            <color indexed="81"/>
            <rFont val="Tahoma"/>
            <family val="2"/>
          </rPr>
          <t>TEO  - 2--ft Equvalent Unit
Exterior Dimensions (in feet): 20' long x 8' wide x 8' 6” high =1,360 cubic feet
In this list, a cargo itme' cube takes about 70% of 1,360 cubin feet</t>
        </r>
      </text>
    </comment>
    <comment ref="G76" authorId="0" shapeId="0" xr:uid="{AF217CD7-9430-C346-8207-FA54E1A691BB}">
      <text>
        <r>
          <rPr>
            <b/>
            <sz val="9"/>
            <color indexed="81"/>
            <rFont val="Tahoma"/>
            <family val="2"/>
          </rPr>
          <t>TEO  - 2--ft Equvalent Unit
Exterior Dimensions (in feet): 20' long x 8' wide x 8' 6” high =1,360 cubic feet
In this list, a cargo itme' cube takes about 70% of 1,360 cubin feet</t>
        </r>
      </text>
    </comment>
    <comment ref="G83" authorId="0" shapeId="0" xr:uid="{E1D0C872-DE7D-664C-A0C0-5513BC30C61B}">
      <text>
        <r>
          <rPr>
            <b/>
            <sz val="9"/>
            <color indexed="81"/>
            <rFont val="Tahoma"/>
            <family val="2"/>
          </rPr>
          <t>TEO  - 2--ft Equvalent Unit
Exterior Dimensions (in feet): 20' long x 8' wide x 8' 6” high =1,360 cubic feet
In this list, a cargo itme' cube takes about 70% of 1,360 cubin feet</t>
        </r>
      </text>
    </comment>
    <comment ref="G84" authorId="0" shapeId="0" xr:uid="{2E39AFAE-A436-6545-84F0-7AE9C14F157D}">
      <text>
        <r>
          <rPr>
            <b/>
            <sz val="9"/>
            <color indexed="81"/>
            <rFont val="Tahoma"/>
            <family val="2"/>
          </rPr>
          <t>TEO  - 2--ft Equvalent Unit
Exterior Dimensions (in feet): 20' long x 8' wide x 8' 6” high =1,360 cubic feet
In this list, a cargo itme' cube takes about 70% of 1,360 cubin feet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<sst xmlns="http://schemas.openxmlformats.org/spreadsheetml/2006/main" count="2064" uniqueCount="481">
  <si>
    <t>Cargo Item  respective WBS Level</t>
  </si>
  <si>
    <t>Work Package</t>
  </si>
  <si>
    <t>Item Description</t>
  </si>
  <si>
    <t>Contents &amp; Comments</t>
  </si>
  <si>
    <t>Length (in)</t>
  </si>
  <si>
    <t>Width (in)</t>
  </si>
  <si>
    <t>Height (in)</t>
  </si>
  <si>
    <t>Quantity</t>
  </si>
  <si>
    <t xml:space="preserve"> Cubic feet</t>
  </si>
  <si>
    <t>Unit weight (lbs)</t>
  </si>
  <si>
    <t>Total Weight (lbs) = quantity x unit weight</t>
  </si>
  <si>
    <t>Basis of Estimate</t>
  </si>
  <si>
    <t>Special Handling?</t>
  </si>
  <si>
    <t xml:space="preserve">Owner/Guardian institution </t>
  </si>
  <si>
    <t>Time between date of completion and shipping date</t>
  </si>
  <si>
    <r>
      <t xml:space="preserve">Date of expected  or </t>
    </r>
    <r>
      <rPr>
        <b/>
        <i/>
        <sz val="12"/>
        <color theme="1"/>
        <rFont val="Calibri"/>
        <family val="2"/>
        <scheme val="minor"/>
      </rPr>
      <t>actual</t>
    </r>
    <r>
      <rPr>
        <b/>
        <sz val="12"/>
        <color theme="1"/>
        <rFont val="Calibri"/>
        <family val="2"/>
        <scheme val="minor"/>
      </rPr>
      <t xml:space="preserve">  completion </t>
    </r>
  </si>
  <si>
    <t>Expected Route:  Owner - PTH or CHC</t>
  </si>
  <si>
    <r>
      <t xml:space="preserve">Date of expected or </t>
    </r>
    <r>
      <rPr>
        <b/>
        <i/>
        <sz val="12"/>
        <color theme="1"/>
        <rFont val="Calibri"/>
        <family val="2"/>
        <scheme val="minor"/>
      </rPr>
      <t>actual</t>
    </r>
    <r>
      <rPr>
        <b/>
        <sz val="12"/>
        <color theme="1"/>
        <rFont val="Calibri"/>
        <family val="2"/>
        <scheme val="minor"/>
      </rPr>
      <t xml:space="preserve"> shipment </t>
    </r>
  </si>
  <si>
    <t>Recommended Transportation Option</t>
  </si>
  <si>
    <t>Expected Route: PTH - MCM or CHC</t>
  </si>
  <si>
    <t>Expected Route: CHC - MCM</t>
  </si>
  <si>
    <r>
      <t xml:space="preserve">Date Item expected or </t>
    </r>
    <r>
      <rPr>
        <b/>
        <i/>
        <sz val="12"/>
        <color theme="1"/>
        <rFont val="Calibri"/>
        <family val="2"/>
        <scheme val="minor"/>
      </rPr>
      <t>arrived</t>
    </r>
    <r>
      <rPr>
        <b/>
        <sz val="12"/>
        <color theme="1"/>
        <rFont val="Calibri"/>
        <family val="2"/>
        <scheme val="minor"/>
      </rPr>
      <t xml:space="preserve"> to MCM</t>
    </r>
  </si>
  <si>
    <t xml:space="preserve">Date of (planned) or actual shipment to SPA </t>
  </si>
  <si>
    <t>Recommended LC-130 or SPOT</t>
  </si>
  <si>
    <t>Date/Month for Items needed at South Pole</t>
  </si>
  <si>
    <t>Critical Path</t>
  </si>
  <si>
    <t>Intercontinental shipping</t>
  </si>
  <si>
    <t>Intracontinental shipping</t>
  </si>
  <si>
    <t>Validator 1
(SME)</t>
  </si>
  <si>
    <t>Validation Date</t>
  </si>
  <si>
    <t>Validator 2
(Logistics)</t>
  </si>
  <si>
    <t>Notes</t>
  </si>
  <si>
    <t>Drill</t>
  </si>
  <si>
    <t>Gen 1 - housed in 20' container</t>
  </si>
  <si>
    <t>Power generation unit 1 housed in 20' shipping container</t>
  </si>
  <si>
    <t>actual</t>
  </si>
  <si>
    <t xml:space="preserve"> U. Wisc. Madison</t>
  </si>
  <si>
    <t>In McMurdo</t>
  </si>
  <si>
    <t>-</t>
  </si>
  <si>
    <t>SPoT</t>
  </si>
  <si>
    <t>Yes</t>
  </si>
  <si>
    <t>D. Gibson</t>
  </si>
  <si>
    <t>I. McEwen</t>
  </si>
  <si>
    <t>Will require crane for onload/offload  - use belly band to support container sidewalls during lift.</t>
  </si>
  <si>
    <t>Gen 2 - housed in 20' container</t>
  </si>
  <si>
    <t>Power generation unit 2 housed in 20' shipping container</t>
  </si>
  <si>
    <r>
      <rPr>
        <sz val="12"/>
        <color rgb="FFFF0000"/>
        <rFont val="Calibri"/>
        <family val="2"/>
        <scheme val="minor"/>
      </rPr>
      <t>Gens 2 &amp; 3 need to be tranferred from ISO2 sleds that are limited to use on improved surfaces only</t>
    </r>
    <r>
      <rPr>
        <sz val="12"/>
        <rFont val="Calibri"/>
        <family val="2"/>
        <scheme val="minor"/>
      </rPr>
      <t>. Will require crane for onload/offload  - use belly band to support container sidewalls during lift.</t>
    </r>
  </si>
  <si>
    <t>Gen 3 - housed in 20' container</t>
  </si>
  <si>
    <t>Power generation unit 3 housed in 20' shipping container</t>
  </si>
  <si>
    <t>287 Loader</t>
  </si>
  <si>
    <t>Required onsite early in FY23 for refit/pre-drill activity support unless ASC can supply dedicated loader for Upgrade use</t>
  </si>
  <si>
    <t>Truck</t>
  </si>
  <si>
    <t>LC-130/SPoT</t>
  </si>
  <si>
    <t>No*</t>
  </si>
  <si>
    <r>
      <t xml:space="preserve">*Required onsite early in FY23 for refit/pre-drill activity support </t>
    </r>
    <r>
      <rPr>
        <i/>
        <sz val="12"/>
        <rFont val="Calibri"/>
        <family val="2"/>
        <scheme val="minor"/>
      </rPr>
      <t>unless ASC can supply dedicated loader for Upgrade use</t>
    </r>
  </si>
  <si>
    <t>Gen hoods Discharge Hoods - currently staged in McMurdo</t>
  </si>
  <si>
    <t>Generator air discharge hoods , sheet metal, loose - stored on berm at SPOTSA</t>
  </si>
  <si>
    <t>No</t>
  </si>
  <si>
    <t>Testing/limited operation of Gens can be accomplished without hoods - Hoods required for the drill season</t>
  </si>
  <si>
    <t>Firn Drill</t>
  </si>
  <si>
    <t xml:space="preserve">Bermed in McM - will require McM fork or crane support. </t>
  </si>
  <si>
    <t>Bermed in McMurdo - SPOTSA</t>
  </si>
  <si>
    <t>Firn Drill Components - 1</t>
  </si>
  <si>
    <t xml:space="preserve">Firn drill sheave. Required Field Season 2 for final refit &amp; functional testing </t>
  </si>
  <si>
    <t>Firn Drill Components - 2</t>
  </si>
  <si>
    <t xml:space="preserve">Firn drill drillhead. Required Field Season 2 for final refit &amp; functional testing </t>
  </si>
  <si>
    <t>Weight stack and crates</t>
  </si>
  <si>
    <t>Bermed in McM - will require McM fork support. Drill head weight stack and remaining bermed crates at SPoTSA</t>
  </si>
  <si>
    <t>Bermed in McMurdo - SPOTSA on UNL flatrack</t>
  </si>
  <si>
    <t>Fuel Tower</t>
  </si>
  <si>
    <t>Bermed in McMurdo - SPOTSA on UNL flatrack - overland shipment preferred due to complexities of air transport certification - can be laid on side once drained</t>
  </si>
  <si>
    <t>HPU 1</t>
  </si>
  <si>
    <t>HPU 1 (University of Nebraska - Lincoln asset) - 40' container housing heating plant on ISO sled</t>
  </si>
  <si>
    <t xml:space="preserve">HPU 1 integration with Rodwell system required before drill season on it's own sled which will require evaluation and repair - Stored at SPOTSA </t>
  </si>
  <si>
    <t>McMurdo totals:</t>
  </si>
  <si>
    <t>TEU=&gt;</t>
  </si>
  <si>
    <t>Container Ski Stack (comprised of 5 sleds) -  currently staged in Pt. Hueneme</t>
  </si>
  <si>
    <t>Five sets of aluminum skis for 20' containers - stacked. Aluminum skis for drill containers. Required onsite for local movement of Gens and PDM.</t>
  </si>
  <si>
    <t>Already at PTH</t>
  </si>
  <si>
    <t>PTH - MCM</t>
  </si>
  <si>
    <t>USAP Vessel</t>
  </si>
  <si>
    <t>*While this shipment is not on the critical path additional ASC crane support will be required to overcome delayed arrival or sleds furnished from the South Pole inventory</t>
  </si>
  <si>
    <t>Generator Intake Hood - currently staged in Pt. Hueneme</t>
  </si>
  <si>
    <t>Light weight large volume sheet metal stacks for generator ventilation</t>
  </si>
  <si>
    <t>Generator Discharge Hoods - currently staged in Pt. Hueneme</t>
  </si>
  <si>
    <t>Drill Hose  - currently staged in Pt. Hueneme</t>
  </si>
  <si>
    <t>Drill hose - 9 Spools - 348 cf / 3532 lbs each - Shipped from Italy</t>
  </si>
  <si>
    <t>Hose to be installed on Main Supply Hose Reel upon arrival at Pole</t>
  </si>
  <si>
    <t>Drill hose - 3 Spools - 348 cf / 5001 lbs each - Shipped from PSL</t>
  </si>
  <si>
    <t>Pt. Hueneme totals:</t>
  </si>
  <si>
    <t>8' Refit Container</t>
  </si>
  <si>
    <t>Priority refit materials including tools, flowmeter assemblies, motor drive installation kits, hardware, fittings, sensors, &amp; consumables</t>
  </si>
  <si>
    <t>estimated</t>
  </si>
  <si>
    <t>UWM - PTH</t>
  </si>
  <si>
    <t xml:space="preserve"> Truck</t>
  </si>
  <si>
    <t>LC-130</t>
  </si>
  <si>
    <t xml:space="preserve">8' container moves with contents by LC130 or is broken down for movement by Basler. Packing in progress. </t>
  </si>
  <si>
    <t>20' Refit Container A</t>
  </si>
  <si>
    <t>Refit materials incl. submersible pumps, hardware, filtration components, fall arrest towers, tools, &amp; hose crimper</t>
  </si>
  <si>
    <t xml:space="preserve">For air shipment container contents will need to be unloaded and palletized. Container procurement delayed by shortage. Packing in progress. </t>
  </si>
  <si>
    <t>20' Refit Container B</t>
  </si>
  <si>
    <t>Bulky materials incl. cable trays, vertical turbine pumps, vertical turbine pump motors, ladders, water tank doghouse/railing materials, 287 forks, generator parts, TU20 shaft, &amp; drill weight stack</t>
  </si>
  <si>
    <t>in transit</t>
  </si>
  <si>
    <t>For air shipment container contents will need to be unloaded and palletized</t>
  </si>
  <si>
    <t>ARA Trailer</t>
  </si>
  <si>
    <t>Enclosed trailer on skis housing 35kw generator</t>
  </si>
  <si>
    <t>FLAMMABLE liquid power engine</t>
  </si>
  <si>
    <t>Yes*</t>
  </si>
  <si>
    <t>*If this shipment is delayed 480 volt power generation support will be required in FW YR 1 by the contractor. Aside from the CRREL generator (far larger than required with high fuel burn rate) the capacity does not currently exist at the Pole.</t>
  </si>
  <si>
    <t>Return Water Cable Reel (RWCR)</t>
  </si>
  <si>
    <t>Smaller reel - can fit in 20' container. Required onsite in FY23 for final integration and pre-drill activites</t>
  </si>
  <si>
    <t>Weight from Gen 1 shipment information see picture.</t>
  </si>
  <si>
    <t>Main Cable Reel  (MCR)</t>
  </si>
  <si>
    <t xml:space="preserve">Required onsite in FY23 for final integration and pre-drill activites. Large cable reel - will require flat rack on vessel             </t>
  </si>
  <si>
    <t xml:space="preserve">Required onsite in FS Y1 for final integration and pre-drill activities. Shrink wrap contractor rescheduled for later date. </t>
  </si>
  <si>
    <t>Controls infrastructure - Motor drives, PLCs, electrical hardware, and motor drive mounting kits</t>
  </si>
  <si>
    <r>
      <t xml:space="preserve">Components and equipment to support field season 1 controls system tasking - ComSur - </t>
    </r>
    <r>
      <rPr>
        <sz val="12"/>
        <color rgb="FFFF0000"/>
        <rFont val="Calibri"/>
        <family val="2"/>
        <scheme val="minor"/>
      </rPr>
      <t>Do Not Freeze</t>
    </r>
  </si>
  <si>
    <t>DNF</t>
  </si>
  <si>
    <t>PTH - CHC</t>
  </si>
  <si>
    <t>ComSur</t>
  </si>
  <si>
    <t>CHC-MCM</t>
  </si>
  <si>
    <t>USAP Air</t>
  </si>
  <si>
    <t>Weight estimated</t>
  </si>
  <si>
    <t>Installation</t>
  </si>
  <si>
    <t>ICL power and timing electronics</t>
  </si>
  <si>
    <r>
      <t xml:space="preserve">1 crate containing rackmount electronics for power and timing systems - </t>
    </r>
    <r>
      <rPr>
        <sz val="12"/>
        <color rgb="FFFF0000"/>
        <rFont val="Calibri"/>
        <family val="2"/>
        <scheme val="minor"/>
      </rPr>
      <t>Do Not Freeze</t>
    </r>
  </si>
  <si>
    <t>J. Kelley</t>
  </si>
  <si>
    <t>D. Tosi</t>
  </si>
  <si>
    <t>ICL patch cables and patch panels</t>
  </si>
  <si>
    <r>
      <t xml:space="preserve">Standard vessel shipping - can overwinter in McM if shipped earlier - </t>
    </r>
    <r>
      <rPr>
        <sz val="12"/>
        <color rgb="FFFF0000"/>
        <rFont val="Calibri (Body)"/>
      </rPr>
      <t>Do Not  Deep Freeze</t>
    </r>
  </si>
  <si>
    <t>DNDF [TBD]</t>
  </si>
  <si>
    <t xml:space="preserve">(*) storage in McMurdo pending low temperature test </t>
  </si>
  <si>
    <t>ARA Drill System Components - Crate 1</t>
  </si>
  <si>
    <r>
      <t xml:space="preserve">ARA (Antarctic Rodwell Appartus) - downhole pump controller, ePump controller, splash cam kit, and accessories - </t>
    </r>
    <r>
      <rPr>
        <sz val="12"/>
        <color rgb="FFFF0000"/>
        <rFont val="Calibri"/>
        <family val="2"/>
        <scheme val="minor"/>
      </rPr>
      <t>Do Not Freeze</t>
    </r>
  </si>
  <si>
    <t xml:space="preserve">LC-130 </t>
  </si>
  <si>
    <t>ARA Drill System Components - Crate 2</t>
  </si>
  <si>
    <t>ARA (Antarctic Rodwell Appartus) - new downhole pumps, spares, accessories and tools</t>
  </si>
  <si>
    <t>Camp Hose - currently staged at PSL</t>
  </si>
  <si>
    <t>Two spools of hose - 348 cf / 4990 lbs each. Required for SES set-up - no DNDF requirement.</t>
  </si>
  <si>
    <t>Bull wheel</t>
  </si>
  <si>
    <t>Bull wheel assembly - used to install main cable on reel in event of main cable damage/failure</t>
  </si>
  <si>
    <t>Weight and cube used from Gen 1 shipping label still on bull wheel.</t>
  </si>
  <si>
    <t>Load member cable reel</t>
  </si>
  <si>
    <t>Cable Reel used to deploy downhole load member during string installation</t>
  </si>
  <si>
    <t>Required onsite in FW YR 2 for integration - recent addition, still in development</t>
  </si>
  <si>
    <t>DOM Handling Facility (DHF)</t>
  </si>
  <si>
    <t>Standard vessel shipping - can overwinter in McM.</t>
  </si>
  <si>
    <t>Sensor Handling Facility construction scheduled to begin mid-December FY24</t>
  </si>
  <si>
    <t xml:space="preserve">Spare Combo cable </t>
  </si>
  <si>
    <t>Spare cable for Return Water Cable Reel - on spool</t>
  </si>
  <si>
    <t>Spare required for drill season</t>
  </si>
  <si>
    <t>Spare Drill Cable</t>
  </si>
  <si>
    <t>Standard vessel shipping - can overwinter in McM. Cable on steel spool.</t>
  </si>
  <si>
    <t>Computing/controls components</t>
  </si>
  <si>
    <r>
      <t xml:space="preserve">Computing and controls equipment (Motor drives and other sensitive electronics) - </t>
    </r>
    <r>
      <rPr>
        <sz val="12"/>
        <color rgb="FFFF0000"/>
        <rFont val="Calibri"/>
        <family val="2"/>
        <scheme val="minor"/>
      </rPr>
      <t>Do Not Freeze</t>
    </r>
  </si>
  <si>
    <t>Required onsite in FW YR 2 to support controls system tasking</t>
  </si>
  <si>
    <t>Driller resupply/refit components -  8'  Container</t>
  </si>
  <si>
    <t>8' Mini Milvan; Consumables/drill components</t>
  </si>
  <si>
    <t>Items identifed in prior field season - 8' container moves with contents overland or by air</t>
  </si>
  <si>
    <t>Drill refit components</t>
  </si>
  <si>
    <t>Single crate. Consumables/drill refit components</t>
  </si>
  <si>
    <t>Comsur</t>
  </si>
  <si>
    <t>Items identifed in prior field season</t>
  </si>
  <si>
    <t>Drill Heads DNF - X</t>
  </si>
  <si>
    <r>
      <rPr>
        <sz val="12"/>
        <rFont val="Calibri"/>
        <family val="2"/>
        <scheme val="minor"/>
      </rPr>
      <t>Drill Heads for winterover storage - ICL  -</t>
    </r>
    <r>
      <rPr>
        <sz val="12"/>
        <color rgb="FFFF0000"/>
        <rFont val="Calibri"/>
        <family val="2"/>
        <scheme val="minor"/>
      </rPr>
      <t xml:space="preserve"> Do Not Freeze</t>
    </r>
  </si>
  <si>
    <t>One drill head shipped one year early for ull system wet-test</t>
  </si>
  <si>
    <t>Drill Heads DNF - Y</t>
  </si>
  <si>
    <t>Drill Heads DNF - R</t>
  </si>
  <si>
    <r>
      <rPr>
        <sz val="12"/>
        <rFont val="Calibri"/>
        <family val="2"/>
        <scheme val="minor"/>
      </rPr>
      <t>Drill Heads for winterover storage - ICL  -</t>
    </r>
    <r>
      <rPr>
        <sz val="12"/>
        <color rgb="FFFF0000"/>
        <rFont val="Calibri"/>
        <family val="2"/>
        <scheme val="minor"/>
      </rPr>
      <t xml:space="preserve"> Do Not Freeze </t>
    </r>
  </si>
  <si>
    <r>
      <t xml:space="preserve">Computing and controls equipment (Sensor, motor drives and other sensitive electronics) - </t>
    </r>
    <r>
      <rPr>
        <sz val="12"/>
        <color rgb="FFFF0000"/>
        <rFont val="Calibri"/>
        <family val="2"/>
        <scheme val="minor"/>
      </rPr>
      <t>Do Not Freeze</t>
    </r>
  </si>
  <si>
    <t xml:space="preserve">Installation Hardware  87-93 </t>
  </si>
  <si>
    <t>Installation hardware for winterover storage at Pole</t>
  </si>
  <si>
    <t xml:space="preserve">Installation Weights  87-93 </t>
  </si>
  <si>
    <t>Installation weights for winterover storage at Pole</t>
  </si>
  <si>
    <t>Calibration/Special Devices 87-88</t>
  </si>
  <si>
    <r>
      <t xml:space="preserve">3+1 PencilBeams from UW, 2+1 pDOM and 1+1 LOMs - </t>
    </r>
    <r>
      <rPr>
        <sz val="12"/>
        <color rgb="FFFF0000"/>
        <rFont val="Calibri"/>
        <family val="2"/>
        <scheme val="minor"/>
      </rPr>
      <t>Do Not Deep Freeze</t>
    </r>
  </si>
  <si>
    <t>DNDF [-40C]</t>
  </si>
  <si>
    <t>D. Williams</t>
  </si>
  <si>
    <t>Special Devices 87-88</t>
  </si>
  <si>
    <r>
      <t xml:space="preserve">Special devices for 2 strings from UW (4+1 Radio Pulsers (all strings) 1+1 Radio Receivers, 3+1 FOM)  - </t>
    </r>
    <r>
      <rPr>
        <sz val="12"/>
        <color rgb="FFFF0000"/>
        <rFont val="Calibri"/>
        <family val="2"/>
        <scheme val="minor"/>
      </rPr>
      <t>Do Not Deep Freeze</t>
    </r>
  </si>
  <si>
    <t>preliminary</t>
  </si>
  <si>
    <t>UWM/Kansas</t>
  </si>
  <si>
    <t>S. Boeser</t>
  </si>
  <si>
    <t>4+1 Radio Pulser, weight  50 kg. 1+1 Radio receiver, assume mDOM weight, 3+1 FOM (assume mDOM weight) + 2ftx2ftx4ft FOM box (50 lbs).  Special Devices from UW. FTS, seismometer missing from estimate.  250 lbs crate estimate</t>
  </si>
  <si>
    <t>Misc. Science Equipment - FY24</t>
  </si>
  <si>
    <r>
      <t xml:space="preserve">Scientific and test equipment (SPAT, DCM et al.) - </t>
    </r>
    <r>
      <rPr>
        <sz val="12"/>
        <color rgb="FFFF0000"/>
        <rFont val="Calibri"/>
        <family val="2"/>
        <scheme val="minor"/>
      </rPr>
      <t>Do Not Freeze</t>
    </r>
    <r>
      <rPr>
        <sz val="12"/>
        <rFont val="Calibri"/>
        <family val="2"/>
        <scheme val="minor"/>
      </rPr>
      <t xml:space="preserve"> </t>
    </r>
  </si>
  <si>
    <t>T. Karg</t>
  </si>
  <si>
    <t>Special Devices 89-93</t>
  </si>
  <si>
    <r>
      <t xml:space="preserve">Special devices for 5 remaining strings from UW (4+1 FOM,2+1 Radio Receivers, 11+1 LOM + seismometer*) - </t>
    </r>
    <r>
      <rPr>
        <sz val="12"/>
        <color rgb="FFFF0000"/>
        <rFont val="Calibri"/>
        <family val="2"/>
        <scheme val="minor"/>
      </rPr>
      <t>Do Not Deep Freeze</t>
    </r>
  </si>
  <si>
    <t>ComAir</t>
  </si>
  <si>
    <t xml:space="preserve">21 Special Devices from USA (11+ 1 LOM, 4+1 FOM, 2+1 RR, FTS ? , seismometer), assume mDOM weight. 200 lbs wood crate. FTS not included. (*) Seismometer not yet in CMD </t>
  </si>
  <si>
    <t>Calibration/Special Devices  89-93</t>
  </si>
  <si>
    <r>
      <t xml:space="preserve">8+1 PencilBeams, 12+1 pDOMs from UW - </t>
    </r>
    <r>
      <rPr>
        <sz val="12"/>
        <color rgb="FFFF0000"/>
        <rFont val="Calibri"/>
        <family val="2"/>
        <scheme val="minor"/>
      </rPr>
      <t>Do Not Deep Freeze</t>
    </r>
  </si>
  <si>
    <t xml:space="preserve">8+1 PencilBeams for strings 89-93, 12+1 pDOMs, assume mDOM weight. 244 lbs crate. </t>
  </si>
  <si>
    <t>Misc. Science Equipment - FY25</t>
  </si>
  <si>
    <r>
      <t>Scientific and test equipment  (Handheld test devices, Paros, et al.) -</t>
    </r>
    <r>
      <rPr>
        <sz val="12"/>
        <color rgb="FFFF0000"/>
        <rFont val="Calibri"/>
        <family val="2"/>
        <scheme val="minor"/>
      </rPr>
      <t xml:space="preserve"> Do Not Freeze</t>
    </r>
  </si>
  <si>
    <t>Dust logging device</t>
  </si>
  <si>
    <r>
      <t xml:space="preserve">Blue Logging device - sensitive equipment - </t>
    </r>
    <r>
      <rPr>
        <sz val="12"/>
        <color rgb="FFFF0000"/>
        <rFont val="Calibri"/>
        <family val="2"/>
        <scheme val="minor"/>
      </rPr>
      <t>Do Not Freeze</t>
    </r>
  </si>
  <si>
    <t>Used weights from last deployment season shipment data (could be combined)</t>
  </si>
  <si>
    <r>
      <t xml:space="preserve">Green Logging device - sensitive equipment - </t>
    </r>
    <r>
      <rPr>
        <sz val="12"/>
        <color rgb="FFFF0000"/>
        <rFont val="Calibri"/>
        <family val="2"/>
        <scheme val="minor"/>
      </rPr>
      <t>Do Not Freeze</t>
    </r>
  </si>
  <si>
    <r>
      <t xml:space="preserve">Electronics parts - sensitive equipment - </t>
    </r>
    <r>
      <rPr>
        <sz val="12"/>
        <color rgb="FFFF0000"/>
        <rFont val="Calibri"/>
        <family val="2"/>
        <scheme val="minor"/>
      </rPr>
      <t>Do Not Freeze</t>
    </r>
  </si>
  <si>
    <t>Logging winch</t>
  </si>
  <si>
    <t xml:space="preserve">Winch to be used for Dust Logging </t>
  </si>
  <si>
    <t>Used weights and cubes of IDP deep logging winch. Send back end of season</t>
  </si>
  <si>
    <t>Logging winch control box</t>
  </si>
  <si>
    <r>
      <t xml:space="preserve">Control Box for winch for Dust Logging  - sensitive equipment - </t>
    </r>
    <r>
      <rPr>
        <sz val="12"/>
        <color rgb="FFFF0000"/>
        <rFont val="Calibri"/>
        <family val="2"/>
        <scheme val="minor"/>
      </rPr>
      <t>Do Not Freeze</t>
    </r>
  </si>
  <si>
    <t>U. Wisconsin totals:</t>
  </si>
  <si>
    <t>Surface Junction Boxes</t>
  </si>
  <si>
    <t xml:space="preserve">Surface Junction Boxes  can overwinter in McM if shipped earlier. 7 junction boxes </t>
  </si>
  <si>
    <t>MSU</t>
  </si>
  <si>
    <t>MSU - PTH</t>
  </si>
  <si>
    <t>T. DeYoung</t>
  </si>
  <si>
    <t>Each is 66" x 30" x 14", each is 112 lbs. Assume Folding crate. Simple passive objects, work plan can probably be shifted to increase float.</t>
  </si>
  <si>
    <t>Surface Cable Assemblies</t>
  </si>
  <si>
    <t xml:space="preserve">Palletized wooden cable drums (Qty: 7). Can overwinter in MCM. </t>
  </si>
  <si>
    <t>Breakout cables for strings 87-88</t>
  </si>
  <si>
    <r>
      <t xml:space="preserve">Standard vessel shipping.  2 wooden crates containing spooled breakout cable assemblies - 96 cf / 1,000 lbs each - </t>
    </r>
    <r>
      <rPr>
        <sz val="12"/>
        <color rgb="FFFF0000"/>
        <rFont val="Calibri (Body)"/>
      </rPr>
      <t>Do Not Deep Freeze</t>
    </r>
  </si>
  <si>
    <t>DNDF[-40C](*)</t>
  </si>
  <si>
    <t>Shipping date early due to storage limitations at MSU. Additional float at Port Hueneme assuming USAP vessel departure.  Preliminary estimate of weight and size.  Pre-staging string 87-88 equipment in cryo or ICL. - if shipping to Pole not possible before end of 23/24 season could overwinter in McM (at an increased risk and pending low temperature test) (*)</t>
  </si>
  <si>
    <t>Breakout cables for strings 89-93</t>
  </si>
  <si>
    <r>
      <t xml:space="preserve">Stored in McMurdo FY24. 5 wooden crates containing spooled breakout cable assemblies - 96 cf/ 1,000 lbs each (preliminary) - </t>
    </r>
    <r>
      <rPr>
        <sz val="12"/>
        <color rgb="FFFF0000"/>
        <rFont val="Calibri (Body)"/>
      </rPr>
      <t xml:space="preserve"> Do Not Deep Freeze</t>
    </r>
  </si>
  <si>
    <t xml:space="preserve">Float in PTH due to storage limitation in MSU.
(*) storage in McMurdo pending low temperature test  </t>
  </si>
  <si>
    <t>Main (downhole) load members 87-93</t>
  </si>
  <si>
    <r>
      <t xml:space="preserve">May be possible to store in McMurdo until drill season - </t>
    </r>
    <r>
      <rPr>
        <sz val="12"/>
        <color rgb="FFFF0000"/>
        <rFont val="Calibri"/>
        <family val="2"/>
        <scheme val="minor"/>
      </rPr>
      <t>Do Not Deep Freeze</t>
    </r>
  </si>
  <si>
    <t>Shipping date synched with main (downhole) cables due to storage limitation in MSU. Float in PTH.</t>
  </si>
  <si>
    <t>Main (downhole) cables 87-93</t>
  </si>
  <si>
    <t>Shipping date chosen to be 2 weeks after scheduled ready to ship date because of storage limitations at MSU. additional 7 months of float at Port Hueneme assuming USAP vessel departure.  (*) storage in McMurdo pending low temperature test.</t>
  </si>
  <si>
    <t>String Sensors 89-93</t>
  </si>
  <si>
    <r>
      <t>Optical Sensors for 5 strings from MSU (mDOMs) -</t>
    </r>
    <r>
      <rPr>
        <sz val="12"/>
        <color rgb="FFFF0000"/>
        <rFont val="Calibri"/>
        <family val="2"/>
        <scheme val="minor"/>
      </rPr>
      <t xml:space="preserve"> Do Not Deep Freeze</t>
    </r>
  </si>
  <si>
    <t>actual(**)</t>
  </si>
  <si>
    <t>CHC - MCM</t>
  </si>
  <si>
    <t>mDOM weight is 28 kg/boxed + 35kg pallet, assume 8 mDOMs/pallet (189 to be deployed + 11 spares)(*)Assumed to be shipped in 2x20' HC  (5115 lbs, 238inx96inx114in) or a 40 ft HC, purchased by MSU or loaned in PTH (container weight not included)</t>
  </si>
  <si>
    <r>
      <t>Optical Sensors for 5 strings from MSU (mDOMs) containers (TBD) -</t>
    </r>
    <r>
      <rPr>
        <sz val="12"/>
        <color rgb="FFFF0000"/>
        <rFont val="Calibri"/>
        <family val="2"/>
        <scheme val="minor"/>
      </rPr>
      <t xml:space="preserve"> Do Not Deep Freeze</t>
    </r>
  </si>
  <si>
    <t>Assume 2x20HC containers for transport on COMSUR (TBC). Pallets could be loaded to 53 ft truck and loaded into a loaned container in PTH but this would increase touch points (and risk)</t>
  </si>
  <si>
    <t>MSU Totals:</t>
  </si>
  <si>
    <t>DM-Ice</t>
  </si>
  <si>
    <r>
      <t xml:space="preserve">DM-ice (two modules for string 89 and 90) - </t>
    </r>
    <r>
      <rPr>
        <sz val="12"/>
        <color rgb="FFFF0000"/>
        <rFont val="Calibri"/>
        <family val="2"/>
        <scheme val="minor"/>
      </rPr>
      <t>Do Not Deep Freeze</t>
    </r>
  </si>
  <si>
    <t>Yale</t>
  </si>
  <si>
    <t>Yale - PTH</t>
  </si>
  <si>
    <t>M. Kauer</t>
  </si>
  <si>
    <t>Other Institutions Totals:</t>
  </si>
  <si>
    <t>String Sensors 87-88</t>
  </si>
  <si>
    <r>
      <t xml:space="preserve">Optical sensors for 2 strings from Germany (mDOMs) (spares included) - </t>
    </r>
    <r>
      <rPr>
        <sz val="12"/>
        <color rgb="FFFF0000"/>
        <rFont val="Calibri"/>
        <family val="2"/>
        <scheme val="minor"/>
      </rPr>
      <t>Do Not Deep Freeze</t>
    </r>
  </si>
  <si>
    <t>DESY</t>
  </si>
  <si>
    <t>DESY - CHC</t>
  </si>
  <si>
    <t>DESY-CHC</t>
  </si>
  <si>
    <t>USAP  Air</t>
  </si>
  <si>
    <t>mDOM weight is 62 lbs (25kg/sensor + 3 kg/box) + 35kg pallet, assume 8 mDOMs/pallet - 116 to be deployed + 12 spares - 
shipped in 20 HC container. Container weight not included in the assumption that pallet will be taken out in CHC.</t>
  </si>
  <si>
    <r>
      <t xml:space="preserve">Optical sensors for 2 strings from Germany (mDOMs) (SPARES) - </t>
    </r>
    <r>
      <rPr>
        <sz val="12"/>
        <color rgb="FFFF0000"/>
        <rFont val="Calibri (Body)"/>
      </rPr>
      <t>Do Not Deep Freeze</t>
    </r>
  </si>
  <si>
    <t>mDOM weight is 62 lbs (25kg/sensor + 3 kg/box) + 35kg pallet, assume 8 mDOMs/pallet - shipped in 20 HC container. Container weight not included in the assumption that pallet will be taken out in CHC.</t>
  </si>
  <si>
    <r>
      <t xml:space="preserve">Special devices for 2 strings from DESY/Germany/Sweden (8 WOMs, 0 Abalone) + spares - </t>
    </r>
    <r>
      <rPr>
        <sz val="12"/>
        <color rgb="FFFF0000"/>
        <rFont val="Calibri (Body)"/>
      </rPr>
      <t>Do Not Deep Freeze</t>
    </r>
  </si>
  <si>
    <t>Mainz</t>
  </si>
  <si>
    <t xml:space="preserve">8 WOMs (no spares) - AH not included for now. Assume 150 lbs crate.  </t>
  </si>
  <si>
    <t>Calibration Devices 87-88</t>
  </si>
  <si>
    <r>
      <t xml:space="preserve">Calibration devices for 2 strings from DESY/Germany/Sweden (4+2 POCAMs, 3+1 Acoustic sensors,  2+1 Swedish Cameras) - </t>
    </r>
    <r>
      <rPr>
        <sz val="12"/>
        <color rgb="FFFF0000"/>
        <rFont val="Calibri (Body)"/>
      </rPr>
      <t>Do Not Deep Freeze</t>
    </r>
  </si>
  <si>
    <t>TUM/Aachen/Sweden</t>
  </si>
  <si>
    <t>Calibration devices for strings 87-88 = 2+1 Sweden Camera + 3+1 Acoustic Module + 4+1 POCAM, including spares, 200 lbs crate</t>
  </si>
  <si>
    <t>FieldHub electronics</t>
  </si>
  <si>
    <r>
      <t xml:space="preserve">Required onsite for FY24 installation. 1 crate containing readout electronics for installation in ICL - </t>
    </r>
    <r>
      <rPr>
        <sz val="12"/>
        <color rgb="FFFF0000"/>
        <rFont val="Calibri"/>
        <family val="2"/>
        <scheme val="minor"/>
      </rPr>
      <t>Do Not Freeze</t>
    </r>
  </si>
  <si>
    <t>Field Hubs are 442mm x 480mm x 133 mm (17.4" x 18.9" x 5.2") and weight maybe 10 lb each.  100 lbs crate. Ready to ship date actually chosen to be 2 weeks ahead of ship date to maximize time with the electronics (sort of backloaded)</t>
  </si>
  <si>
    <r>
      <t xml:space="preserve">Optical sensors for 5 strings from Germany (mDOMs) - </t>
    </r>
    <r>
      <rPr>
        <sz val="12"/>
        <color rgb="FFFF0000"/>
        <rFont val="Calibri"/>
        <family val="2"/>
        <scheme val="minor"/>
      </rPr>
      <t>Do Not Deep Freeze</t>
    </r>
  </si>
  <si>
    <t>mDOM weight is (28kg/sensor boxed) + 35kg pallet, assume 8 mDOMs/pallet - 190 to be deployed + 10 spares. (**) shipped in 20 HC container. Container not included in weight as pallets will be taken out.</t>
  </si>
  <si>
    <r>
      <t xml:space="preserve">Special devices for 5 remaining strings from DESY/Germany/Sweden (6 WOMs,  3 Abalone Hubs or WOM Traps)  no spares - </t>
    </r>
    <r>
      <rPr>
        <sz val="12"/>
        <color rgb="FFFF0000"/>
        <rFont val="Calibri (Body)"/>
      </rPr>
      <t>Do Not Deep Freeze</t>
    </r>
  </si>
  <si>
    <t>6 Special Devices from Germany 6 (WOM + 0 AH) including 0 spare for each. Assume 170 lbs crate.</t>
  </si>
  <si>
    <t>Calibration Devices 89-93</t>
  </si>
  <si>
    <r>
      <t xml:space="preserve">Calibration for 5 strings from DESY/Germany/Sweden (17+2 POCAMs, 7+ 1 Acoustic sensors,  3+ 1 Swedish Cameras) including spares - </t>
    </r>
    <r>
      <rPr>
        <sz val="12"/>
        <color rgb="FFFF0000"/>
        <rFont val="Calibri (Body)"/>
      </rPr>
      <t>Do Not Deep Freeze</t>
    </r>
  </si>
  <si>
    <t>Calibration devices for strings 89-93 = 3+1 Sweden Camera,7+1 + Acoustic Module,17 +1 POCAM, including spares, 200 lbs crate</t>
  </si>
  <si>
    <t>DESY/Aachen/TUM/Sweden etc Totals:</t>
  </si>
  <si>
    <t>String Sensors 87 &amp; 88</t>
  </si>
  <si>
    <r>
      <t xml:space="preserve">Sensors (D-Eggs) pallets with 8 sensors  at Pole overwinter - Cryo location - </t>
    </r>
    <r>
      <rPr>
        <sz val="12"/>
        <color rgb="FFFF0000"/>
        <rFont val="Calibri"/>
        <family val="2"/>
        <scheme val="minor"/>
      </rPr>
      <t>Do Not Deep Freeze</t>
    </r>
  </si>
  <si>
    <t>Chiba</t>
  </si>
  <si>
    <t>ChibaU - CHC</t>
  </si>
  <si>
    <t>Cargo shipment by CHU</t>
  </si>
  <si>
    <t>S. Yoshida</t>
  </si>
  <si>
    <t>Pallet sizes are under review. shipped in 20 and 40ft container. Container weight not included in the assumption that pallet will be taken out in CHC.</t>
  </si>
  <si>
    <r>
      <t xml:space="preserve">Sensors (D-Eggs) pallets with 8 sensors  at Pole overwinter (SPARES - TBD) - Cryo location - </t>
    </r>
    <r>
      <rPr>
        <sz val="12"/>
        <color rgb="FFFF0000"/>
        <rFont val="Calibri"/>
        <family val="2"/>
        <scheme val="minor"/>
      </rPr>
      <t>Do Not Deep Freeze</t>
    </r>
    <r>
      <rPr>
        <sz val="12"/>
        <rFont val="Calibri"/>
        <family val="2"/>
        <scheme val="minor"/>
      </rPr>
      <t xml:space="preserve"> </t>
    </r>
  </si>
  <si>
    <t>Pallet sizes are under review. SPARES number to be confirmed.  shipped in 20 and 40ft container. Container weight not included in the assumption that pallet will be taken out in CHC.</t>
  </si>
  <si>
    <r>
      <t xml:space="preserve">Sensors (D-Eggs) pallets with 12 sensors  at Pole overwinter - Cryo location - </t>
    </r>
    <r>
      <rPr>
        <sz val="12"/>
        <color rgb="FFFF0000"/>
        <rFont val="Calibri"/>
        <family val="2"/>
        <scheme val="minor"/>
      </rPr>
      <t>Do Not Deep Freeze</t>
    </r>
  </si>
  <si>
    <r>
      <t xml:space="preserve">Sensors (D-Eggs) pallets with 12 sensors  at Pole overwinter (SPARES - TBD)- Cryo location - </t>
    </r>
    <r>
      <rPr>
        <sz val="12"/>
        <color rgb="FFFF0000"/>
        <rFont val="Calibri"/>
        <family val="2"/>
        <scheme val="minor"/>
      </rPr>
      <t>Do Not Deep Freeze</t>
    </r>
  </si>
  <si>
    <t>Pallet sizes are under review. SPARES number to be confirmed. shipped in 20 and 40ft container. Container weight not included in the assumption that pallet will be taken out in CHC.</t>
  </si>
  <si>
    <r>
      <t xml:space="preserve">Sensors (D-Eggs) pallets with 8 sensors in McMurdo overwinter - </t>
    </r>
    <r>
      <rPr>
        <sz val="12"/>
        <color rgb="FFFF0000"/>
        <rFont val="Calibri"/>
        <family val="2"/>
        <scheme val="minor"/>
      </rPr>
      <t>Do Not Deep Freeze</t>
    </r>
  </si>
  <si>
    <r>
      <t xml:space="preserve">Sensors (D-Eggs) pallets with 12 sensors  in McMurdo overwinter - </t>
    </r>
    <r>
      <rPr>
        <sz val="12"/>
        <color rgb="FFFF0000"/>
        <rFont val="Calibri"/>
        <family val="2"/>
        <scheme val="minor"/>
      </rPr>
      <t>Do Not Deep Freeze</t>
    </r>
  </si>
  <si>
    <t>Chiba Totals:</t>
  </si>
  <si>
    <t>Fuel</t>
  </si>
  <si>
    <t>Field Season 1 Fuel</t>
  </si>
  <si>
    <t>Fuel to support FY23 field season - Base fuel</t>
  </si>
  <si>
    <t>T. Benson</t>
  </si>
  <si>
    <t>Field Season 1 Fuel Contingency</t>
  </si>
  <si>
    <t>Fuel to support FY23 field season - Contingency</t>
  </si>
  <si>
    <t>Field Season 2 Fuel</t>
  </si>
  <si>
    <t>Fuel to support FY24 field season - Base fuel, firn drilling &amp; over winter heating</t>
  </si>
  <si>
    <t>Field Season 2 Fuel Contingency</t>
  </si>
  <si>
    <t>Fuel to suppport FY24 field season - Contingency</t>
  </si>
  <si>
    <t>Field Season 3 Fuel</t>
  </si>
  <si>
    <t>Fuel to support FY25 field season - Base fuel &amp; deep drilling</t>
  </si>
  <si>
    <t>Field Season 3 Fuel Contingency</t>
  </si>
  <si>
    <t>Fuel to suppport FY25 field season - Contingency</t>
  </si>
  <si>
    <t>Fuel Totals:</t>
  </si>
  <si>
    <t>All IC/Upgrade cargo volume:</t>
  </si>
  <si>
    <t>Legend:</t>
  </si>
  <si>
    <t>Cargo Item</t>
  </si>
  <si>
    <t>Item to be procured or fabricated</t>
  </si>
  <si>
    <t>Description</t>
  </si>
  <si>
    <t>Brief description of item</t>
  </si>
  <si>
    <t>Owner/Guardian</t>
  </si>
  <si>
    <t>UWIsc/ICNO-U Project Team member responsible for completion</t>
  </si>
  <si>
    <t>Completion Date</t>
  </si>
  <si>
    <t>Date in PMB for completion (mm/dd/yy)</t>
  </si>
  <si>
    <t>Shipment Date</t>
  </si>
  <si>
    <t>Date in PMB for shipment (mm/dd/yy)</t>
  </si>
  <si>
    <t>Weight</t>
  </si>
  <si>
    <t>Pounds (lbs)</t>
  </si>
  <si>
    <t>Dimensions</t>
  </si>
  <si>
    <t>L x W x H (inches) or cubic feet</t>
  </si>
  <si>
    <t>General Assumption</t>
  </si>
  <si>
    <t>All cargo is destined for South Pole</t>
  </si>
  <si>
    <t>Routing Options</t>
  </si>
  <si>
    <t>Port Hueneme&gt;&gt;Christchurch&gt;&gt;McMurdo</t>
  </si>
  <si>
    <t>Transportation Options</t>
  </si>
  <si>
    <t>USAP Vessel, Commercial ship or air carrier (COMSUR or COMAIR), C-17 (CHC-MCM), LC-130 or SPoT (MCM-SPA)</t>
  </si>
  <si>
    <t>Month for Items expected at South Pole</t>
  </si>
  <si>
    <t>Needed on-site date (Nov, Dec, or Jan)</t>
  </si>
  <si>
    <t>Grouping by WPs could be done after the "cargo pipeline" is set by the item's "origin"</t>
  </si>
  <si>
    <t xml:space="preserve">Basis of Estimate </t>
  </si>
  <si>
    <t>Estimate (expert guess), Preliminary (based on design), Actual (as built)</t>
  </si>
  <si>
    <t>FS1</t>
  </si>
  <si>
    <t xml:space="preserve">Field season to finishing EHWD refurbishment </t>
  </si>
  <si>
    <t>FS2</t>
  </si>
  <si>
    <t>Pre-drilling season: staging Drill Camp, firn holes shallow drilling</t>
  </si>
  <si>
    <t>FS3</t>
  </si>
  <si>
    <t>The season of drilling deep ice holes &amp; deploying DOMs</t>
  </si>
  <si>
    <t>Do Not Freeze</t>
  </si>
  <si>
    <t>DNDF</t>
  </si>
  <si>
    <t>Do Not Deep Freeze [min Temperature for storage] - for storage temp &gt; -53C</t>
  </si>
  <si>
    <t>CROSS CHECKS</t>
  </si>
  <si>
    <t>cubic feet</t>
  </si>
  <si>
    <t>lbs</t>
  </si>
  <si>
    <t>Cells will be green if all the cargo is taken into account</t>
  </si>
  <si>
    <t>inter-continental</t>
  </si>
  <si>
    <t>intra-continental</t>
  </si>
  <si>
    <t>start</t>
  </si>
  <si>
    <t>end</t>
  </si>
  <si>
    <t>McMurdo label</t>
  </si>
  <si>
    <t>Pole label</t>
  </si>
  <si>
    <t>FY22 inter</t>
  </si>
  <si>
    <t>FY23 intra</t>
  </si>
  <si>
    <t>FY23 inter</t>
  </si>
  <si>
    <t>FY24 inter</t>
  </si>
  <si>
    <t>FY24 intra</t>
  </si>
  <si>
    <t>FY25 inter</t>
  </si>
  <si>
    <t>FY25 intra</t>
  </si>
  <si>
    <t>Point of Departure (Point of Origin)</t>
  </si>
  <si>
    <t>volume 
[cu ft]</t>
  </si>
  <si>
    <t>fraction of  volume</t>
  </si>
  <si>
    <t>weight 
[lbs]</t>
  </si>
  <si>
    <t>fraction of weight</t>
  </si>
  <si>
    <t>fraction of volume (including fuel)</t>
  </si>
  <si>
    <t>fraction of weight (including fuel)</t>
  </si>
  <si>
    <t>cables (SCAs, MCAs, BCAs, SJBs)</t>
  </si>
  <si>
    <t>MSU (MSU)</t>
  </si>
  <si>
    <t>D-Eggs</t>
  </si>
  <si>
    <t>CHIBA  (CHIBA)</t>
  </si>
  <si>
    <t>mDOMs + D-Eggs</t>
  </si>
  <si>
    <t>mDOMs</t>
  </si>
  <si>
    <t>DESY (DESY) / MSU (MSU)</t>
  </si>
  <si>
    <t>calibration + special
+ logging devices</t>
  </si>
  <si>
    <t>calibration &amp; special devices</t>
  </si>
  <si>
    <t>UW (various)/
DESY (various)</t>
  </si>
  <si>
    <t>dm-ice</t>
  </si>
  <si>
    <t>YALE  (YALE)</t>
  </si>
  <si>
    <t>dust logger</t>
  </si>
  <si>
    <t>UW (UW)</t>
  </si>
  <si>
    <t>ICL + science</t>
  </si>
  <si>
    <t>DOM Handling Facility</t>
  </si>
  <si>
    <t xml:space="preserve">installation equipment </t>
  </si>
  <si>
    <t>hardware (rigging and weights)</t>
  </si>
  <si>
    <t>misc science</t>
  </si>
  <si>
    <t>Total</t>
  </si>
  <si>
    <t>ICL equipment</t>
  </si>
  <si>
    <t>fuel</t>
  </si>
  <si>
    <t>installation equipment total</t>
  </si>
  <si>
    <t>SEE ABOVE</t>
  </si>
  <si>
    <t>total plus fuel</t>
  </si>
  <si>
    <t>drill equipment</t>
  </si>
  <si>
    <t>total</t>
  </si>
  <si>
    <t>volume with fuel
[cu ft]</t>
  </si>
  <si>
    <t>weight with fuel
[lbs]</t>
  </si>
  <si>
    <t>fraction of volume</t>
  </si>
  <si>
    <t>Rodwell Drill and System</t>
  </si>
  <si>
    <t>Generators, HPU, fuel tower</t>
  </si>
  <si>
    <t>Hose</t>
  </si>
  <si>
    <t>Hose, drill heads and weight stack</t>
  </si>
  <si>
    <t>Reels</t>
  </si>
  <si>
    <t>Drill Heads and weight stack</t>
  </si>
  <si>
    <t>Refit, spare cable, support equip.</t>
  </si>
  <si>
    <t>Spare cable</t>
  </si>
  <si>
    <t>Drill Equipment</t>
  </si>
  <si>
    <t>Refit Components</t>
  </si>
  <si>
    <t>Installation Equipment</t>
  </si>
  <si>
    <t>Support Equipment</t>
  </si>
  <si>
    <t>Drill equipment</t>
  </si>
  <si>
    <t>Sensors</t>
  </si>
  <si>
    <t>Cables &amp; hardware</t>
  </si>
  <si>
    <t>DHF</t>
  </si>
  <si>
    <t>Firn Drill &amp; ARA drill</t>
  </si>
  <si>
    <t>Hose, drill heads, weight stack, reels</t>
  </si>
  <si>
    <t>Refit components, spare cable, support equipment</t>
  </si>
  <si>
    <t>Intercontinental leg</t>
  </si>
  <si>
    <t>FY22 intercontinental</t>
  </si>
  <si>
    <t>FS1 intercontinental</t>
  </si>
  <si>
    <t>FS2 intercontinental</t>
  </si>
  <si>
    <t>FS3 intercontinental</t>
  </si>
  <si>
    <t>In  McMurdo</t>
  </si>
  <si>
    <t>Total cargo project</t>
  </si>
  <si>
    <t>Intracontinental leg</t>
  </si>
  <si>
    <t>FS1 intracontinental</t>
  </si>
  <si>
    <t>FS2 intracontinental</t>
  </si>
  <si>
    <t>FS3 intracontinental</t>
  </si>
  <si>
    <t>cross check</t>
  </si>
  <si>
    <t>By Point Departure</t>
  </si>
  <si>
    <t>Weight [lbs]</t>
  </si>
  <si>
    <t>Volume [cuft]</t>
  </si>
  <si>
    <t>Point of Origin same as Point of Departure</t>
  </si>
  <si>
    <t>Point of Origin different from Point of Departure</t>
  </si>
  <si>
    <t>Cargo (total) by BoE</t>
  </si>
  <si>
    <t>Installation cargo by BoE</t>
  </si>
  <si>
    <t>Drill cargo by BoE</t>
  </si>
  <si>
    <t>FY22 Intercontinental:</t>
  </si>
  <si>
    <t>FY23 Intercontinental:</t>
  </si>
  <si>
    <t>FY23 Intracontinental:</t>
  </si>
  <si>
    <t>FY24 Intercontinental:</t>
  </si>
  <si>
    <t>FY24 Intracontinental:</t>
  </si>
  <si>
    <t>FY25 Intercontinental:</t>
  </si>
  <si>
    <t>FY25 Intracontinental:</t>
  </si>
  <si>
    <t>GrandTotal INTER</t>
  </si>
  <si>
    <t>GrandTotal INTRA</t>
  </si>
  <si>
    <t>WBS</t>
  </si>
  <si>
    <t>Retrograde</t>
  </si>
  <si>
    <t>Conveyance</t>
  </si>
  <si>
    <t>Details</t>
  </si>
  <si>
    <t>Contents</t>
  </si>
  <si>
    <t>Outyear Pole Retro</t>
  </si>
  <si>
    <t>On A2 Critical Path?</t>
  </si>
  <si>
    <t>Cube [cf]</t>
  </si>
  <si>
    <t xml:space="preserve">8' container </t>
  </si>
  <si>
    <t>USAP Air + COMSUR</t>
  </si>
  <si>
    <r>
      <t xml:space="preserve">Multiple crates - </t>
    </r>
    <r>
      <rPr>
        <sz val="14"/>
        <color rgb="FFFF0000"/>
        <rFont val="Calibri"/>
        <family val="2"/>
        <scheme val="minor"/>
      </rPr>
      <t>DNF</t>
    </r>
  </si>
  <si>
    <t xml:space="preserve">Retrograde components and equipment </t>
  </si>
  <si>
    <t>Ship north by station close FY23</t>
  </si>
  <si>
    <t>Misc. science equipment</t>
  </si>
  <si>
    <t>Scientific and test equipment</t>
  </si>
  <si>
    <t>TOTAL</t>
  </si>
  <si>
    <t>Ship north by station close FY24</t>
  </si>
  <si>
    <t>1.3-1.6</t>
  </si>
  <si>
    <t>Drill hose</t>
  </si>
  <si>
    <r>
      <t xml:space="preserve">Must overwinter in McM - </t>
    </r>
    <r>
      <rPr>
        <sz val="14"/>
        <color rgb="FFFF0000"/>
        <rFont val="Calibri"/>
        <family val="2"/>
        <scheme val="minor"/>
      </rPr>
      <t xml:space="preserve">DNDF </t>
    </r>
  </si>
  <si>
    <t xml:space="preserve">13 hose spools: 352 cf / 4800 lbs each </t>
  </si>
  <si>
    <t>Ship north by station close FY25</t>
  </si>
  <si>
    <t xml:space="preserve">Tools and equipment </t>
  </si>
  <si>
    <t xml:space="preserve">Retrograde tools and equipment </t>
  </si>
  <si>
    <t>Loan for one season only - Expedite return to IDP</t>
  </si>
  <si>
    <t xml:space="preserve">IDP supplied logging winch </t>
  </si>
  <si>
    <t>Ship north by station close FY25 with CONUS arrival by April 1, 2025</t>
  </si>
  <si>
    <r>
      <t xml:space="preserve">Loan for one season only - Expedite return to IDP - </t>
    </r>
    <r>
      <rPr>
        <sz val="14"/>
        <color rgb="FFFF0000"/>
        <rFont val="Calibri (Body)"/>
      </rPr>
      <t>DNF</t>
    </r>
  </si>
  <si>
    <t>IDP supplied logging winch control box</t>
  </si>
  <si>
    <t>Drill heads</t>
  </si>
  <si>
    <t>3 Drill heads</t>
  </si>
  <si>
    <t>Spare mDOMs</t>
  </si>
  <si>
    <t>3 pallets</t>
  </si>
  <si>
    <t>21 mDOMs (3 pallets)</t>
  </si>
  <si>
    <t>Spare D-Eggs pallet 1</t>
  </si>
  <si>
    <t>1 pallet</t>
  </si>
  <si>
    <t>8 Spare D-Eggs</t>
  </si>
  <si>
    <t>Spare D-Eggs pallet 2</t>
  </si>
  <si>
    <t>12 Spare D-Eggs</t>
  </si>
  <si>
    <t>total volume [cubic feet]</t>
  </si>
  <si>
    <t>total weight [lbs]</t>
  </si>
  <si>
    <t>Total Cargo for selected items</t>
  </si>
  <si>
    <t>Total Cargo according to dates</t>
  </si>
  <si>
    <t xml:space="preserve">Start date </t>
  </si>
  <si>
    <t>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</si>
</sst>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yyyy\-mm\-dd;@"/>
    <numFmt numFmtId="165" formatCode="#,##0.0"/>
    <numFmt numFmtId="166" formatCode="m/d/yyyy;@"/>
    <numFmt numFmtId="167" formatCode="0.0%"/>
    <numFmt numFmtId="168" formatCode="0;\-0;;@"/>
    <numFmt numFmtId="169" formatCode="0.0;\-0.0;;@"/>
    <numFmt numFmtId="170" formatCode="_(* #,##0_);_(* \(#,##0\);_(* &quot;-&quot;??_);_(@_)"/>
  </numFmts>
  <fonts count="38">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sz val="12"/>
      <name val="Calibri"/>
      <family val="2"/>
      <scheme val="minor"/>
    </font>
    <font>
      <b/>
      <sz val="12"/>
      <name val="Calibri"/>
      <family val="2"/>
      <scheme val="minor"/>
    </font>
    <font>
      <sz val="12"/>
      <color rgb="FFFF0000"/>
      <name val="Calibri"/>
      <family val="2"/>
      <scheme val="minor"/>
    </font>
    <font>
      <sz val="11"/>
      <color rgb="FF006100"/>
      <name val="Calibri"/>
      <family val="2"/>
      <scheme val="minor"/>
    </font>
    <font>
      <sz val="11"/>
      <color rgb="FF9C5700"/>
      <name val="Calibri"/>
      <family val="2"/>
      <scheme val="minor"/>
    </font>
    <font>
      <sz val="8"/>
      <name val="Calibri"/>
      <family val="2"/>
      <scheme val="minor"/>
    </font>
    <font>
      <b/>
      <sz val="14"/>
      <color theme="1"/>
      <name val="Calibri"/>
      <family val="2"/>
      <scheme val="minor"/>
    </font>
    <font>
      <b/>
      <sz val="14"/>
      <name val="Calibri"/>
      <family val="2"/>
      <scheme val="minor"/>
    </font>
    <font>
      <sz val="12"/>
      <color theme="5" tint="-0.249977111117893"/>
      <name val="Calibri"/>
      <family val="2"/>
      <scheme val="minor"/>
    </font>
    <font>
      <b/>
      <sz val="9"/>
      <color indexed="81"/>
      <name val="Tahoma"/>
      <family val="2"/>
    </font>
    <font>
      <sz val="12"/>
      <color rgb="FF00B050"/>
      <name val="Calibri"/>
      <family val="2"/>
      <scheme val="minor"/>
    </font>
    <font>
      <sz val="11"/>
      <name val="Calibri"/>
      <family val="2"/>
      <scheme val="minor"/>
    </font>
    <font>
      <sz val="12"/>
      <color rgb="FF1D1C1D"/>
      <name val="Calibri"/>
      <family val="2"/>
      <scheme val="minor"/>
    </font>
    <font>
      <i/>
      <sz val="12"/>
      <name val="Calibri"/>
      <family val="2"/>
      <scheme val="minor"/>
    </font>
    <font>
      <b/>
      <sz val="9"/>
      <color rgb="FF000000"/>
      <name val="Tahoma"/>
      <family val="2"/>
    </font>
    <font>
      <sz val="12"/>
      <color rgb="FFFF0000"/>
      <name val="Calibri (Body)"/>
    </font>
    <font>
      <b/>
      <i/>
      <sz val="12"/>
      <color theme="1"/>
      <name val="Calibri"/>
      <family val="2"/>
      <scheme val="minor"/>
    </font>
    <font>
      <i/>
      <sz val="12"/>
      <color theme="1"/>
      <name val="Calibri"/>
      <family val="2"/>
      <scheme val="minor"/>
    </font>
    <font>
      <sz val="12"/>
      <color rgb="FF000000"/>
      <name val="Calibri"/>
      <family val="2"/>
      <scheme val="minor"/>
    </font>
    <font>
      <b/>
      <sz val="12"/>
      <color rgb="FF000000"/>
      <name val="Calibri"/>
      <family val="2"/>
    </font>
    <font>
      <sz val="14"/>
      <color theme="1"/>
      <name val="Calibri"/>
      <family val="2"/>
      <scheme val="minor"/>
    </font>
    <font>
      <sz val="14"/>
      <name val="Calibri"/>
      <family val="2"/>
      <scheme val="minor"/>
    </font>
    <font>
      <sz val="14"/>
      <color rgb="FFFF0000"/>
      <name val="Calibri"/>
      <family val="2"/>
      <scheme val="minor"/>
    </font>
    <font>
      <b/>
      <sz val="11"/>
      <color rgb="FF000000"/>
      <name val="Calibri"/>
      <family val="2"/>
      <scheme val="minor"/>
    </font>
    <font>
      <sz val="14"/>
      <color rgb="FFFF0000"/>
      <name val="Calibri (Body)"/>
    </font>
    <font>
      <sz val="11"/>
      <color theme="1"/>
      <name val="Calibri"/>
      <family val="2"/>
      <scheme val="minor"/>
    </font>
    <font>
      <sz val="12"/>
      <color rgb="FF000000"/>
      <name val="Calibri"/>
      <family val="2"/>
    </font>
    <font>
      <b/>
      <sz val="12"/>
      <color theme="1"/>
      <name val="Calibri (Body)"/>
    </font>
    <font>
      <sz val="11"/>
      <color theme="1"/>
      <name val="Calibri (Body)"/>
    </font>
    <font>
      <sz val="12"/>
      <color theme="1"/>
      <name val="Calibri (Body)"/>
    </font>
    <font>
      <b/>
      <sz val="11"/>
      <color theme="1"/>
      <name val="Calibri (Body)"/>
    </font>
    <font>
      <b/>
      <sz val="11"/>
      <color rgb="FF808080"/>
      <name val="Calibri"/>
      <family val="2"/>
      <scheme val="minor"/>
    </font>
    <font>
      <sz val="11"/>
      <color rgb="FF808080"/>
      <name val="Calibri"/>
      <family val="2"/>
      <scheme val="minor"/>
    </font>
  </fonts>
  <fills count="2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rgb="FFFFEB9C"/>
      </patternFill>
    </fill>
    <fill>
      <patternFill patternType="solid">
        <fgColor rgb="FF00B0F0"/>
        <bgColor indexed="64"/>
      </patternFill>
    </fill>
    <fill>
      <patternFill patternType="solid">
        <fgColor rgb="FFCCFFCC"/>
        <bgColor indexed="64"/>
      </patternFill>
    </fill>
    <fill>
      <patternFill patternType="solid">
        <fgColor rgb="FFCCFFFF"/>
        <bgColor indexed="64"/>
      </patternFill>
    </fill>
    <fill>
      <patternFill patternType="solid">
        <fgColor rgb="FFFFCCFF"/>
        <bgColor indexed="64"/>
      </patternFill>
    </fill>
    <fill>
      <patternFill patternType="solid">
        <fgColor theme="6"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D9D9D9"/>
        <bgColor indexed="64"/>
      </patternFill>
    </fill>
    <fill>
      <patternFill patternType="solid">
        <fgColor rgb="FFFFF2CC"/>
        <bgColor indexed="64"/>
      </patternFill>
    </fill>
    <fill>
      <patternFill patternType="solid">
        <fgColor rgb="FFDDEBF7"/>
        <bgColor indexed="64"/>
      </patternFill>
    </fill>
    <fill>
      <patternFill patternType="solid">
        <fgColor theme="7" tint="0.79998168889431442"/>
        <bgColor indexed="64"/>
      </patternFill>
    </fill>
    <fill>
      <patternFill patternType="solid">
        <fgColor theme="2"/>
        <bgColor indexed="64"/>
      </patternFill>
    </fill>
    <fill>
      <patternFill patternType="solid">
        <fgColor rgb="FFFFFFFF"/>
        <bgColor indexed="64"/>
      </patternFill>
    </fill>
    <fill>
      <patternFill patternType="solid">
        <fgColor theme="5"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rgb="FF000000"/>
      </left>
      <right style="thin">
        <color indexed="64"/>
      </right>
      <top/>
      <bottom/>
      <diagonal/>
    </border>
    <border>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thin">
        <color rgb="FF000000"/>
      </left>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indexed="64"/>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theme="1"/>
      </left>
      <right style="thin">
        <color rgb="FF000000"/>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rgb="FF000000"/>
      </right>
      <top/>
      <bottom/>
      <diagonal/>
    </border>
    <border>
      <left/>
      <right style="medium">
        <color theme="1"/>
      </right>
      <top/>
      <bottom/>
      <diagonal/>
    </border>
    <border>
      <left style="medium">
        <color theme="1"/>
      </left>
      <right style="thin">
        <color rgb="FF000000"/>
      </right>
      <top/>
      <bottom style="thin">
        <color rgb="FF000000"/>
      </bottom>
      <diagonal/>
    </border>
    <border>
      <left/>
      <right style="medium">
        <color theme="1"/>
      </right>
      <top/>
      <bottom style="thin">
        <color rgb="FF000000"/>
      </bottom>
      <diagonal/>
    </border>
    <border>
      <left style="medium">
        <color theme="1"/>
      </left>
      <right style="thin">
        <color rgb="FF000000"/>
      </right>
      <top/>
      <bottom style="medium">
        <color rgb="FF000000"/>
      </bottom>
      <diagonal/>
    </border>
    <border>
      <left/>
      <right style="medium">
        <color theme="1"/>
      </right>
      <top style="thin">
        <color indexed="64"/>
      </top>
      <bottom style="medium">
        <color rgb="FF000000"/>
      </bottom>
      <diagonal/>
    </border>
    <border>
      <left style="medium">
        <color theme="1"/>
      </left>
      <right style="thin">
        <color rgb="FF000000"/>
      </right>
      <top/>
      <bottom style="medium">
        <color theme="1"/>
      </bottom>
      <diagonal/>
    </border>
    <border>
      <left/>
      <right/>
      <top/>
      <bottom style="medium">
        <color theme="1"/>
      </bottom>
      <diagonal/>
    </border>
    <border>
      <left/>
      <right style="medium">
        <color theme="1"/>
      </right>
      <top/>
      <bottom style="medium">
        <color theme="1"/>
      </bottom>
      <diagonal/>
    </border>
    <border>
      <left/>
      <right/>
      <top style="thin">
        <color theme="1"/>
      </top>
      <bottom/>
      <diagonal/>
    </border>
    <border>
      <left style="medium">
        <color theme="1"/>
      </left>
      <right style="thin">
        <color indexed="64"/>
      </right>
      <top/>
      <bottom/>
      <diagonal/>
    </border>
    <border>
      <left style="medium">
        <color theme="1"/>
      </left>
      <right style="thin">
        <color indexed="64"/>
      </right>
      <top style="thin">
        <color theme="1"/>
      </top>
      <bottom/>
      <diagonal/>
    </border>
    <border>
      <left/>
      <right style="medium">
        <color theme="1"/>
      </right>
      <top style="thin">
        <color theme="1"/>
      </top>
      <bottom/>
      <diagonal/>
    </border>
    <border>
      <left style="medium">
        <color theme="1"/>
      </left>
      <right style="thin">
        <color indexed="64"/>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style="thin">
        <color indexed="64"/>
      </bottom>
      <diagonal/>
    </border>
    <border>
      <left style="thin">
        <color theme="1"/>
      </left>
      <right/>
      <top style="medium">
        <color theme="1"/>
      </top>
      <bottom style="thin">
        <color indexed="64"/>
      </bottom>
      <diagonal/>
    </border>
    <border>
      <left/>
      <right/>
      <top style="medium">
        <color theme="1"/>
      </top>
      <bottom/>
      <diagonal/>
    </border>
    <border>
      <left style="medium">
        <color theme="1"/>
      </left>
      <right/>
      <top/>
      <bottom/>
      <diagonal/>
    </border>
    <border>
      <left style="thin">
        <color theme="1"/>
      </left>
      <right/>
      <top/>
      <bottom/>
      <diagonal/>
    </border>
    <border>
      <left style="medium">
        <color theme="1"/>
      </left>
      <right style="thin">
        <color indexed="64"/>
      </right>
      <top style="thin">
        <color indexed="64"/>
      </top>
      <bottom style="medium">
        <color theme="1"/>
      </bottom>
      <diagonal/>
    </border>
    <border>
      <left/>
      <right/>
      <top style="thin">
        <color indexed="64"/>
      </top>
      <bottom style="medium">
        <color theme="1"/>
      </bottom>
      <diagonal/>
    </border>
    <border>
      <left/>
      <right style="medium">
        <color theme="1"/>
      </right>
      <top style="thin">
        <color indexed="64"/>
      </top>
      <bottom style="medium">
        <color theme="1"/>
      </bottom>
      <diagonal/>
    </border>
    <border>
      <left/>
      <right/>
      <top style="medium">
        <color theme="1"/>
      </top>
      <bottom style="thin">
        <color rgb="FF000000"/>
      </bottom>
      <diagonal/>
    </border>
    <border>
      <left/>
      <right style="medium">
        <color theme="1"/>
      </right>
      <top style="medium">
        <color theme="1"/>
      </top>
      <bottom style="thin">
        <color rgb="FF000000"/>
      </bottom>
      <diagonal/>
    </border>
    <border>
      <left style="medium">
        <color theme="1"/>
      </left>
      <right style="thin">
        <color theme="1"/>
      </right>
      <top style="medium">
        <color theme="1"/>
      </top>
      <bottom/>
      <diagonal/>
    </border>
    <border>
      <left style="medium">
        <color theme="1"/>
      </left>
      <right style="thin">
        <color theme="1"/>
      </right>
      <top/>
      <bottom/>
      <diagonal/>
    </border>
    <border>
      <left style="medium">
        <color theme="1"/>
      </left>
      <right style="thin">
        <color theme="1"/>
      </right>
      <top style="thin">
        <color theme="1"/>
      </top>
      <bottom/>
      <diagonal/>
    </border>
    <border>
      <left style="medium">
        <color theme="1"/>
      </left>
      <right style="thin">
        <color theme="1"/>
      </right>
      <top style="thin">
        <color theme="1"/>
      </top>
      <bottom style="medium">
        <color theme="1"/>
      </bottom>
      <diagonal/>
    </border>
    <border>
      <left/>
      <right/>
      <top style="thin">
        <color theme="1"/>
      </top>
      <bottom style="medium">
        <color theme="1"/>
      </bottom>
      <diagonal/>
    </border>
    <border>
      <left/>
      <right style="medium">
        <color theme="1"/>
      </right>
      <top style="thin">
        <color theme="1"/>
      </top>
      <bottom style="medium">
        <color theme="1"/>
      </bottom>
      <diagonal/>
    </border>
    <border>
      <left style="medium">
        <color theme="1"/>
      </left>
      <right style="thin">
        <color theme="1"/>
      </right>
      <top style="medium">
        <color theme="1"/>
      </top>
      <bottom style="thin">
        <color theme="1"/>
      </bottom>
      <diagonal/>
    </border>
    <border>
      <left style="medium">
        <color rgb="FF000000"/>
      </left>
      <right/>
      <top/>
      <bottom style="medium">
        <color rgb="FF000000"/>
      </bottom>
      <diagonal/>
    </border>
    <border>
      <left style="thin">
        <color rgb="FF000000"/>
      </left>
      <right/>
      <top/>
      <bottom style="medium">
        <color rgb="FF000000"/>
      </bottom>
      <diagonal/>
    </border>
  </borders>
  <cellStyleXfs count="5">
    <xf numFmtId="0" fontId="0" fillId="0" borderId="0"/>
    <xf numFmtId="0" fontId="8" fillId="4" borderId="0" applyNumberFormat="0" applyBorder="0" applyAlignment="0" applyProtection="0"/>
    <xf numFmtId="0" fontId="9" fillId="5" borderId="0" applyNumberFormat="0" applyBorder="0" applyAlignment="0" applyProtection="0"/>
    <xf numFmtId="9" fontId="30" fillId="0" borderId="0" applyFont="0" applyFill="0" applyBorder="0" applyAlignment="0" applyProtection="0"/>
    <xf numFmtId="43" fontId="30" fillId="0" borderId="0" applyFont="0" applyFill="0" applyBorder="0" applyAlignment="0" applyProtection="0"/>
  </cellStyleXfs>
  <cellXfs count="502">
    <xf numFmtId="0" fontId="0" fillId="0" borderId="0" xfId="0"/>
    <xf numFmtId="0" fontId="5" fillId="3" borderId="1" xfId="0" applyFont="1" applyFill="1" applyBorder="1" applyAlignment="1">
      <alignment horizontal="left" vertical="center" wrapText="1"/>
    </xf>
    <xf numFmtId="0" fontId="3" fillId="0" borderId="0" xfId="0" applyFont="1" applyAlignment="1">
      <alignment horizontal="center" vertical="center"/>
    </xf>
    <xf numFmtId="0" fontId="5" fillId="0" borderId="1" xfId="0" applyFont="1" applyBorder="1" applyAlignment="1">
      <alignment horizontal="left" vertical="center" wrapText="1"/>
    </xf>
    <xf numFmtId="3" fontId="5" fillId="0" borderId="1" xfId="0" applyNumberFormat="1" applyFont="1" applyBorder="1" applyAlignment="1">
      <alignment horizontal="center" vertical="center" wrapText="1" shrinkToFit="1"/>
    </xf>
    <xf numFmtId="1" fontId="5" fillId="0" borderId="1" xfId="0" applyNumberFormat="1" applyFont="1" applyBorder="1" applyAlignment="1">
      <alignment horizontal="center" vertical="center" wrapText="1" shrinkToFit="1"/>
    </xf>
    <xf numFmtId="3" fontId="5" fillId="0" borderId="1" xfId="0" applyNumberFormat="1" applyFont="1" applyBorder="1" applyAlignment="1">
      <alignment horizontal="center" vertical="center"/>
    </xf>
    <xf numFmtId="3" fontId="5" fillId="0" borderId="1" xfId="2" applyNumberFormat="1" applyFont="1" applyFill="1" applyBorder="1" applyAlignment="1">
      <alignment horizontal="center" vertical="center"/>
    </xf>
    <xf numFmtId="3" fontId="5" fillId="3" borderId="1" xfId="1" applyNumberFormat="1" applyFont="1" applyFill="1" applyBorder="1" applyAlignment="1">
      <alignment horizontal="center" vertical="center"/>
    </xf>
    <xf numFmtId="0" fontId="0" fillId="0" borderId="0" xfId="0" applyAlignment="1">
      <alignment horizontal="center" vertical="center"/>
    </xf>
    <xf numFmtId="0" fontId="5" fillId="0" borderId="1" xfId="0" applyFont="1" applyBorder="1" applyAlignment="1">
      <alignment horizontal="center" vertical="center" wrapText="1" shrinkToFit="1"/>
    </xf>
    <xf numFmtId="0" fontId="11" fillId="0" borderId="2" xfId="0" applyFont="1" applyBorder="1" applyAlignment="1">
      <alignment horizontal="center" vertical="center"/>
    </xf>
    <xf numFmtId="16" fontId="7" fillId="8" borderId="1" xfId="0" applyNumberFormat="1" applyFont="1" applyFill="1" applyBorder="1" applyAlignment="1">
      <alignment horizontal="center" vertical="center" wrapText="1" shrinkToFit="1"/>
    </xf>
    <xf numFmtId="0" fontId="0" fillId="3" borderId="0" xfId="0" applyFill="1" applyAlignment="1">
      <alignment horizontal="center" vertical="center"/>
    </xf>
    <xf numFmtId="0" fontId="5" fillId="0" borderId="1" xfId="0" applyFont="1" applyBorder="1" applyAlignment="1">
      <alignment horizontal="left" vertical="center" wrapText="1" shrinkToFit="1"/>
    </xf>
    <xf numFmtId="0" fontId="0" fillId="0" borderId="0" xfId="0" applyAlignment="1">
      <alignment horizontal="left" vertical="center"/>
    </xf>
    <xf numFmtId="0" fontId="3" fillId="0" borderId="0" xfId="0" applyFont="1" applyAlignment="1">
      <alignment horizontal="left" vertical="center"/>
    </xf>
    <xf numFmtId="0" fontId="5" fillId="3" borderId="1" xfId="0" applyFont="1" applyFill="1" applyBorder="1" applyAlignment="1">
      <alignment horizontal="left" vertical="center" wrapText="1" shrinkToFit="1"/>
    </xf>
    <xf numFmtId="0" fontId="5" fillId="0" borderId="1" xfId="0" applyFont="1" applyBorder="1" applyAlignment="1">
      <alignment horizontal="left" vertical="center"/>
    </xf>
    <xf numFmtId="0" fontId="5" fillId="0" borderId="1" xfId="2" applyFont="1" applyFill="1" applyBorder="1" applyAlignment="1">
      <alignment horizontal="left" vertical="center" wrapText="1"/>
    </xf>
    <xf numFmtId="0" fontId="5" fillId="3" borderId="1" xfId="1" applyFont="1" applyFill="1" applyBorder="1" applyAlignment="1">
      <alignment horizontal="left" vertical="center" wrapText="1"/>
    </xf>
    <xf numFmtId="0" fontId="5" fillId="0" borderId="1" xfId="1" applyFont="1" applyFill="1" applyBorder="1" applyAlignment="1">
      <alignment horizontal="left" vertical="center" wrapText="1"/>
    </xf>
    <xf numFmtId="3" fontId="5" fillId="3" borderId="1" xfId="0" applyNumberFormat="1" applyFont="1" applyFill="1" applyBorder="1" applyAlignment="1">
      <alignment horizontal="center" vertical="center" wrapText="1" shrinkToFit="1"/>
    </xf>
    <xf numFmtId="3" fontId="5" fillId="0" borderId="1" xfId="0" applyNumberFormat="1" applyFont="1" applyBorder="1" applyAlignment="1">
      <alignment horizontal="center" vertical="center" wrapText="1"/>
    </xf>
    <xf numFmtId="0" fontId="5" fillId="3" borderId="1" xfId="0" applyFont="1" applyFill="1" applyBorder="1" applyAlignment="1">
      <alignment horizontal="center" vertical="center" wrapText="1" shrinkToFit="1"/>
    </xf>
    <xf numFmtId="0" fontId="5" fillId="0" borderId="1" xfId="0" applyFont="1" applyBorder="1" applyAlignment="1">
      <alignment horizontal="center" vertical="center" wrapText="1"/>
    </xf>
    <xf numFmtId="164" fontId="5" fillId="0" borderId="1" xfId="0" applyNumberFormat="1" applyFont="1" applyBorder="1" applyAlignment="1">
      <alignment horizontal="center" vertical="center" wrapText="1" shrinkToFit="1"/>
    </xf>
    <xf numFmtId="0" fontId="16" fillId="0" borderId="0" xfId="0" applyFont="1" applyAlignment="1">
      <alignment horizontal="center" vertical="center"/>
    </xf>
    <xf numFmtId="0" fontId="4" fillId="2" borderId="1" xfId="0" applyFont="1" applyFill="1" applyBorder="1" applyAlignment="1">
      <alignment horizontal="center" vertical="center" wrapText="1" shrinkToFit="1"/>
    </xf>
    <xf numFmtId="0" fontId="4" fillId="2" borderId="1" xfId="0" applyFont="1" applyFill="1" applyBorder="1" applyAlignment="1">
      <alignment horizontal="left" vertical="center" wrapText="1" shrinkToFit="1"/>
    </xf>
    <xf numFmtId="0" fontId="6" fillId="2" borderId="1" xfId="0" applyFont="1" applyFill="1" applyBorder="1" applyAlignment="1">
      <alignment horizontal="left" vertical="center" wrapText="1" shrinkToFit="1"/>
    </xf>
    <xf numFmtId="0" fontId="4" fillId="7" borderId="1" xfId="0" applyFont="1" applyFill="1" applyBorder="1" applyAlignment="1">
      <alignment horizontal="center" vertical="center" wrapText="1" shrinkToFit="1"/>
    </xf>
    <xf numFmtId="0" fontId="4" fillId="8" borderId="1" xfId="0" applyFont="1" applyFill="1" applyBorder="1" applyAlignment="1">
      <alignment horizontal="center" vertical="center" wrapText="1" shrinkToFit="1"/>
    </xf>
    <xf numFmtId="0" fontId="4" fillId="9" borderId="1" xfId="0" applyFont="1" applyFill="1" applyBorder="1" applyAlignment="1">
      <alignment horizontal="center" vertical="center" wrapText="1" shrinkToFit="1"/>
    </xf>
    <xf numFmtId="164" fontId="7" fillId="0" borderId="1" xfId="0" applyNumberFormat="1" applyFont="1" applyBorder="1" applyAlignment="1">
      <alignment horizontal="center" vertical="center" wrapText="1" shrinkToFit="1"/>
    </xf>
    <xf numFmtId="0" fontId="5" fillId="3" borderId="1" xfId="1" applyFont="1" applyFill="1" applyBorder="1" applyAlignment="1">
      <alignment horizontal="center" vertical="center" wrapText="1"/>
    </xf>
    <xf numFmtId="3" fontId="5" fillId="3" borderId="1" xfId="1" applyNumberFormat="1" applyFont="1" applyFill="1" applyBorder="1" applyAlignment="1">
      <alignment horizontal="center" vertical="center" wrapText="1"/>
    </xf>
    <xf numFmtId="0" fontId="13" fillId="0" borderId="1" xfId="0" applyFont="1" applyBorder="1" applyAlignment="1">
      <alignment horizontal="center" vertical="center" wrapText="1"/>
    </xf>
    <xf numFmtId="3" fontId="5" fillId="3" borderId="1" xfId="0" applyNumberFormat="1" applyFont="1" applyFill="1" applyBorder="1" applyAlignment="1">
      <alignment horizontal="center" vertical="center" wrapText="1"/>
    </xf>
    <xf numFmtId="164" fontId="5" fillId="9" borderId="1" xfId="0" applyNumberFormat="1" applyFont="1" applyFill="1" applyBorder="1" applyAlignment="1">
      <alignment horizontal="center" vertical="center" wrapText="1" shrinkToFit="1"/>
    </xf>
    <xf numFmtId="3" fontId="5" fillId="3"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4" fillId="6" borderId="1" xfId="0" applyFont="1" applyFill="1" applyBorder="1" applyAlignment="1">
      <alignment horizontal="left" vertical="center" wrapText="1"/>
    </xf>
    <xf numFmtId="3" fontId="6" fillId="6" borderId="1"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shrinkToFit="1"/>
    </xf>
    <xf numFmtId="165" fontId="6" fillId="6" borderId="1" xfId="0" applyNumberFormat="1" applyFont="1" applyFill="1" applyBorder="1" applyAlignment="1">
      <alignment horizontal="center" vertical="center" wrapText="1"/>
    </xf>
    <xf numFmtId="3" fontId="4" fillId="6" borderId="1" xfId="0" applyNumberFormat="1" applyFont="1" applyFill="1" applyBorder="1" applyAlignment="1">
      <alignment horizontal="center" vertical="center"/>
    </xf>
    <xf numFmtId="0" fontId="5" fillId="8" borderId="1" xfId="0" applyFont="1" applyFill="1" applyBorder="1" applyAlignment="1">
      <alignment horizontal="center" vertical="center" wrapText="1" shrinkToFit="1"/>
    </xf>
    <xf numFmtId="0" fontId="5" fillId="12" borderId="1" xfId="0" applyFont="1" applyFill="1" applyBorder="1" applyAlignment="1">
      <alignment horizontal="center" vertical="center" wrapText="1"/>
    </xf>
    <xf numFmtId="0" fontId="15" fillId="12" borderId="1" xfId="0" applyFont="1" applyFill="1" applyBorder="1" applyAlignment="1">
      <alignment horizontal="center" vertical="center" wrapText="1"/>
    </xf>
    <xf numFmtId="0" fontId="5" fillId="12" borderId="1" xfId="0" applyFont="1" applyFill="1" applyBorder="1" applyAlignment="1">
      <alignment horizontal="center" vertical="center" wrapText="1" shrinkToFit="1"/>
    </xf>
    <xf numFmtId="0" fontId="5" fillId="12" borderId="1" xfId="1" applyFont="1" applyFill="1" applyBorder="1" applyAlignment="1">
      <alignment horizontal="center" vertical="center" wrapText="1"/>
    </xf>
    <xf numFmtId="0" fontId="5" fillId="0" borderId="1" xfId="0" applyFont="1" applyBorder="1" applyAlignment="1">
      <alignment wrapText="1"/>
    </xf>
    <xf numFmtId="0" fontId="12" fillId="2" borderId="1" xfId="0" applyFont="1" applyFill="1" applyBorder="1" applyAlignment="1">
      <alignment horizontal="center" vertical="center" wrapText="1" shrinkToFit="1"/>
    </xf>
    <xf numFmtId="0" fontId="12" fillId="2" borderId="1" xfId="0" applyFont="1" applyFill="1" applyBorder="1" applyAlignment="1">
      <alignment horizontal="left" vertical="center" wrapText="1" shrinkToFit="1"/>
    </xf>
    <xf numFmtId="3" fontId="12" fillId="2" borderId="1" xfId="0" applyNumberFormat="1" applyFont="1" applyFill="1" applyBorder="1" applyAlignment="1">
      <alignment horizontal="left" vertical="center" wrapText="1" shrinkToFit="1"/>
    </xf>
    <xf numFmtId="165" fontId="12" fillId="2" borderId="1" xfId="0" applyNumberFormat="1" applyFont="1" applyFill="1" applyBorder="1" applyAlignment="1">
      <alignment horizontal="center" vertical="center" wrapText="1" shrinkToFit="1"/>
    </xf>
    <xf numFmtId="3" fontId="12" fillId="10" borderId="1" xfId="0" applyNumberFormat="1" applyFont="1" applyFill="1" applyBorder="1" applyAlignment="1">
      <alignment horizontal="center" vertical="center" wrapText="1" shrinkToFit="1"/>
    </xf>
    <xf numFmtId="3" fontId="11" fillId="2" borderId="1" xfId="0" applyNumberFormat="1" applyFont="1" applyFill="1" applyBorder="1" applyAlignment="1">
      <alignment horizontal="center" vertical="center" wrapText="1" shrinkToFit="1"/>
    </xf>
    <xf numFmtId="164" fontId="11" fillId="2" borderId="1" xfId="0" applyNumberFormat="1" applyFont="1" applyFill="1" applyBorder="1" applyAlignment="1">
      <alignment horizontal="center" vertical="center" wrapText="1" shrinkToFit="1"/>
    </xf>
    <xf numFmtId="0" fontId="11" fillId="2" borderId="1" xfId="0" applyFont="1" applyFill="1" applyBorder="1" applyAlignment="1">
      <alignment horizontal="center" vertical="center" wrapText="1" shrinkToFit="1"/>
    </xf>
    <xf numFmtId="0" fontId="0" fillId="0" borderId="1" xfId="0" applyBorder="1" applyAlignment="1">
      <alignment horizontal="center" vertical="center"/>
    </xf>
    <xf numFmtId="3" fontId="12" fillId="2" borderId="1" xfId="0" applyNumberFormat="1" applyFont="1" applyFill="1" applyBorder="1" applyAlignment="1">
      <alignment horizontal="right" vertical="center" wrapText="1" shrinkToFit="1"/>
    </xf>
    <xf numFmtId="165" fontId="12" fillId="11" borderId="1" xfId="0" applyNumberFormat="1" applyFont="1" applyFill="1" applyBorder="1" applyAlignment="1">
      <alignment horizontal="center" vertical="center" wrapText="1" shrinkToFit="1"/>
    </xf>
    <xf numFmtId="165" fontId="12" fillId="0" borderId="1" xfId="0" applyNumberFormat="1" applyFont="1" applyBorder="1" applyAlignment="1">
      <alignment horizontal="center" vertical="center" wrapText="1" shrinkToFit="1"/>
    </xf>
    <xf numFmtId="0" fontId="0" fillId="3" borderId="1" xfId="0" applyFill="1" applyBorder="1" applyAlignment="1">
      <alignment horizontal="center" vertical="center"/>
    </xf>
    <xf numFmtId="0" fontId="16" fillId="0" borderId="1" xfId="0" applyFont="1" applyBorder="1" applyAlignment="1">
      <alignment horizontal="center" vertical="center"/>
    </xf>
    <xf numFmtId="0" fontId="5" fillId="0" borderId="1" xfId="2" applyFont="1" applyFill="1" applyBorder="1" applyAlignment="1">
      <alignment horizontal="center" vertical="center" wrapText="1"/>
    </xf>
    <xf numFmtId="0" fontId="5" fillId="12" borderId="1" xfId="2" applyFont="1" applyFill="1" applyBorder="1" applyAlignment="1">
      <alignment horizontal="center" vertical="center" wrapText="1"/>
    </xf>
    <xf numFmtId="3" fontId="5" fillId="0" borderId="1" xfId="2" applyNumberFormat="1"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7" fillId="0" borderId="1" xfId="0" applyFont="1" applyBorder="1" applyAlignment="1">
      <alignment vertical="center"/>
    </xf>
    <xf numFmtId="0" fontId="5" fillId="3" borderId="1" xfId="0" applyFont="1" applyFill="1" applyBorder="1" applyAlignment="1">
      <alignment horizontal="center" vertical="center" wrapText="1"/>
    </xf>
    <xf numFmtId="14" fontId="0" fillId="0" borderId="0" xfId="0" applyNumberFormat="1" applyAlignment="1">
      <alignment horizontal="left" vertical="center"/>
    </xf>
    <xf numFmtId="0" fontId="0" fillId="0" borderId="0" xfId="0" applyAlignment="1">
      <alignment horizontal="center" vertical="center" wrapText="1"/>
    </xf>
    <xf numFmtId="3" fontId="0" fillId="0" borderId="0" xfId="0" applyNumberFormat="1" applyAlignment="1">
      <alignment horizontal="center" vertical="center"/>
    </xf>
    <xf numFmtId="0" fontId="7" fillId="9" borderId="1" xfId="0" applyFont="1" applyFill="1" applyBorder="1" applyAlignment="1">
      <alignment horizontal="center" vertical="center" wrapText="1" shrinkToFit="1"/>
    </xf>
    <xf numFmtId="166" fontId="11" fillId="2" borderId="1" xfId="0" applyNumberFormat="1" applyFont="1" applyFill="1" applyBorder="1" applyAlignment="1">
      <alignment horizontal="center" vertical="center" wrapText="1" shrinkToFit="1"/>
    </xf>
    <xf numFmtId="166" fontId="5" fillId="0" borderId="1" xfId="0" applyNumberFormat="1" applyFont="1" applyBorder="1" applyAlignment="1">
      <alignment horizontal="center" vertical="center" wrapText="1" shrinkToFit="1"/>
    </xf>
    <xf numFmtId="0" fontId="5" fillId="9" borderId="1" xfId="0" applyFont="1" applyFill="1" applyBorder="1" applyAlignment="1">
      <alignment horizontal="center" vertical="center" wrapText="1" shrinkToFit="1"/>
    </xf>
    <xf numFmtId="166" fontId="0" fillId="0" borderId="0" xfId="0" applyNumberFormat="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166" fontId="4" fillId="2" borderId="1" xfId="0" applyNumberFormat="1" applyFont="1" applyFill="1" applyBorder="1" applyAlignment="1">
      <alignment horizontal="center" vertical="center" wrapText="1" shrinkToFit="1"/>
    </xf>
    <xf numFmtId="2" fontId="3" fillId="0" borderId="0" xfId="0" applyNumberFormat="1" applyFont="1" applyAlignment="1">
      <alignment horizontal="center" vertical="center"/>
    </xf>
    <xf numFmtId="2" fontId="3" fillId="0" borderId="7" xfId="0" applyNumberFormat="1" applyFont="1" applyBorder="1" applyAlignment="1">
      <alignment horizontal="center" vertical="center"/>
    </xf>
    <xf numFmtId="2" fontId="3" fillId="0" borderId="9" xfId="0" applyNumberFormat="1" applyFont="1" applyBorder="1" applyAlignment="1">
      <alignment horizontal="center" vertical="center"/>
    </xf>
    <xf numFmtId="2" fontId="3" fillId="0" borderId="10" xfId="0" applyNumberFormat="1" applyFont="1" applyBorder="1" applyAlignment="1">
      <alignment horizontal="center" vertical="center"/>
    </xf>
    <xf numFmtId="166" fontId="22" fillId="3" borderId="1" xfId="0" applyNumberFormat="1" applyFont="1" applyFill="1" applyBorder="1" applyAlignment="1">
      <alignment horizontal="center" vertical="center" wrapText="1" shrinkToFit="1"/>
    </xf>
    <xf numFmtId="0" fontId="5" fillId="14" borderId="1" xfId="1" applyFont="1" applyFill="1" applyBorder="1" applyAlignment="1">
      <alignment horizontal="center" vertical="center" wrapText="1"/>
    </xf>
    <xf numFmtId="2" fontId="0" fillId="0" borderId="0" xfId="0" applyNumberFormat="1" applyAlignment="1">
      <alignment horizontal="center" vertical="center"/>
    </xf>
    <xf numFmtId="0" fontId="11" fillId="0" borderId="0" xfId="0" applyFont="1" applyAlignment="1">
      <alignment horizontal="center" vertical="center"/>
    </xf>
    <xf numFmtId="3" fontId="5" fillId="0" borderId="1" xfId="1" applyNumberFormat="1" applyFont="1" applyFill="1" applyBorder="1" applyAlignment="1">
      <alignment horizontal="center" vertical="center" wrapText="1"/>
    </xf>
    <xf numFmtId="166" fontId="4" fillId="7" borderId="1" xfId="0" applyNumberFormat="1" applyFont="1" applyFill="1" applyBorder="1" applyAlignment="1">
      <alignment horizontal="center" vertical="center" wrapText="1" shrinkToFit="1"/>
    </xf>
    <xf numFmtId="166" fontId="18" fillId="7" borderId="1" xfId="0" applyNumberFormat="1" applyFont="1" applyFill="1" applyBorder="1" applyAlignment="1">
      <alignment horizontal="center" vertical="center" wrapText="1" shrinkToFit="1"/>
    </xf>
    <xf numFmtId="166" fontId="5" fillId="7" borderId="1" xfId="0" applyNumberFormat="1" applyFont="1" applyFill="1" applyBorder="1" applyAlignment="1">
      <alignment horizontal="center" vertical="center" wrapText="1" shrinkToFit="1"/>
    </xf>
    <xf numFmtId="166" fontId="5" fillId="3" borderId="1" xfId="0" applyNumberFormat="1" applyFont="1" applyFill="1" applyBorder="1" applyAlignment="1">
      <alignment horizontal="center" vertical="center" wrapText="1" shrinkToFit="1"/>
    </xf>
    <xf numFmtId="16" fontId="5" fillId="8" borderId="1" xfId="0" applyNumberFormat="1" applyFont="1" applyFill="1" applyBorder="1" applyAlignment="1">
      <alignment horizontal="center" vertical="center" wrapText="1" shrinkToFit="1"/>
    </xf>
    <xf numFmtId="164" fontId="5" fillId="7" borderId="1" xfId="0" applyNumberFormat="1" applyFont="1" applyFill="1" applyBorder="1" applyAlignment="1">
      <alignment horizontal="center" vertical="center" wrapText="1" shrinkToFit="1"/>
    </xf>
    <xf numFmtId="0" fontId="5" fillId="7" borderId="1" xfId="0" applyFont="1" applyFill="1" applyBorder="1" applyAlignment="1">
      <alignment horizontal="center" vertical="center" wrapText="1" shrinkToFit="1"/>
    </xf>
    <xf numFmtId="166" fontId="23" fillId="15" borderId="1" xfId="0" applyNumberFormat="1" applyFont="1" applyFill="1" applyBorder="1" applyAlignment="1">
      <alignment horizontal="center" vertical="center" wrapText="1" shrinkToFit="1"/>
    </xf>
    <xf numFmtId="0" fontId="24" fillId="0" borderId="0" xfId="0" applyFont="1"/>
    <xf numFmtId="14" fontId="24" fillId="0" borderId="0" xfId="0" applyNumberFormat="1" applyFont="1"/>
    <xf numFmtId="0" fontId="0" fillId="0" borderId="1" xfId="0" applyBorder="1" applyAlignment="1">
      <alignment horizontal="center" vertical="center" wrapText="1"/>
    </xf>
    <xf numFmtId="3" fontId="4" fillId="6" borderId="1" xfId="0" applyNumberFormat="1" applyFont="1" applyFill="1" applyBorder="1" applyAlignment="1">
      <alignment horizontal="center" vertical="center" wrapText="1"/>
    </xf>
    <xf numFmtId="3" fontId="0" fillId="0" borderId="0" xfId="0" applyNumberFormat="1" applyAlignment="1">
      <alignment horizontal="center" vertical="center" wrapText="1"/>
    </xf>
    <xf numFmtId="2" fontId="0" fillId="0" borderId="0" xfId="0" applyNumberFormat="1" applyAlignment="1">
      <alignment horizontal="center" vertical="center" wrapText="1"/>
    </xf>
    <xf numFmtId="3" fontId="5" fillId="11" borderId="1" xfId="1" applyNumberFormat="1" applyFont="1" applyFill="1" applyBorder="1" applyAlignment="1">
      <alignment horizontal="center" vertical="center"/>
    </xf>
    <xf numFmtId="14" fontId="3" fillId="0" borderId="0" xfId="0" applyNumberFormat="1" applyFont="1" applyAlignment="1">
      <alignment vertical="center" wrapText="1"/>
    </xf>
    <xf numFmtId="14" fontId="28" fillId="0" borderId="6" xfId="0" applyNumberFormat="1" applyFont="1" applyBorder="1" applyAlignment="1">
      <alignment vertical="center" wrapText="1"/>
    </xf>
    <xf numFmtId="14" fontId="28" fillId="0" borderId="0" xfId="0" applyNumberFormat="1" applyFont="1" applyAlignment="1">
      <alignment vertical="center" wrapText="1"/>
    </xf>
    <xf numFmtId="0" fontId="28" fillId="0" borderId="3" xfId="0" applyFont="1" applyBorder="1" applyAlignment="1">
      <alignment vertical="center" wrapText="1"/>
    </xf>
    <xf numFmtId="3" fontId="5" fillId="0" borderId="1" xfId="1" applyNumberFormat="1" applyFont="1" applyFill="1" applyBorder="1" applyAlignment="1">
      <alignment horizontal="center" vertical="center"/>
    </xf>
    <xf numFmtId="166" fontId="22" fillId="7" borderId="1" xfId="0" applyNumberFormat="1" applyFont="1" applyFill="1" applyBorder="1" applyAlignment="1">
      <alignment horizontal="center" vertical="center" wrapText="1" shrinkToFit="1"/>
    </xf>
    <xf numFmtId="0" fontId="26" fillId="0" borderId="1" xfId="0" applyFont="1" applyBorder="1" applyAlignment="1">
      <alignment horizontal="left" vertical="center" wrapText="1"/>
    </xf>
    <xf numFmtId="0" fontId="12" fillId="13" borderId="11" xfId="0" applyFont="1" applyFill="1" applyBorder="1" applyAlignment="1">
      <alignment horizontal="left" vertical="center"/>
    </xf>
    <xf numFmtId="0" fontId="12" fillId="13" borderId="11" xfId="0" applyFont="1" applyFill="1" applyBorder="1" applyAlignment="1">
      <alignment horizontal="left" vertical="center" wrapText="1"/>
    </xf>
    <xf numFmtId="0" fontId="12" fillId="13" borderId="12" xfId="0" applyFont="1" applyFill="1" applyBorder="1" applyAlignment="1">
      <alignment horizontal="left" vertical="center" wrapText="1"/>
    </xf>
    <xf numFmtId="1" fontId="12" fillId="13" borderId="11" xfId="0" applyNumberFormat="1" applyFont="1" applyFill="1" applyBorder="1" applyAlignment="1">
      <alignment horizontal="left" vertical="center" wrapText="1"/>
    </xf>
    <xf numFmtId="0" fontId="25" fillId="0" borderId="0" xfId="0" applyFont="1" applyAlignment="1">
      <alignment horizontal="left" vertical="center"/>
    </xf>
    <xf numFmtId="0" fontId="26" fillId="0" borderId="13" xfId="0" applyFont="1" applyBorder="1" applyAlignment="1">
      <alignment horizontal="left" vertical="center" wrapText="1"/>
    </xf>
    <xf numFmtId="0" fontId="25" fillId="0" borderId="1" xfId="0" applyFont="1" applyBorder="1" applyAlignment="1">
      <alignment horizontal="left" vertical="center" wrapText="1"/>
    </xf>
    <xf numFmtId="0" fontId="26" fillId="0" borderId="14" xfId="0" applyFont="1" applyBorder="1" applyAlignment="1">
      <alignment horizontal="left" vertical="center" wrapText="1"/>
    </xf>
    <xf numFmtId="1" fontId="25" fillId="0" borderId="13" xfId="0" applyNumberFormat="1" applyFont="1" applyBorder="1" applyAlignment="1">
      <alignment horizontal="left" vertical="center"/>
    </xf>
    <xf numFmtId="1" fontId="25" fillId="0" borderId="1" xfId="0" applyNumberFormat="1" applyFont="1" applyBorder="1" applyAlignment="1">
      <alignment horizontal="left" vertical="center"/>
    </xf>
    <xf numFmtId="0" fontId="25" fillId="0" borderId="15" xfId="0" applyFont="1" applyBorder="1" applyAlignment="1">
      <alignment horizontal="left" vertical="center"/>
    </xf>
    <xf numFmtId="0" fontId="12" fillId="0" borderId="15" xfId="0" applyFont="1" applyBorder="1" applyAlignment="1">
      <alignment horizontal="left" vertical="center" wrapText="1"/>
    </xf>
    <xf numFmtId="0" fontId="25" fillId="0" borderId="0" xfId="0" applyFont="1" applyAlignment="1">
      <alignment horizontal="left" vertical="center" wrapText="1"/>
    </xf>
    <xf numFmtId="0" fontId="11" fillId="0" borderId="0" xfId="0" applyFont="1" applyAlignment="1">
      <alignment horizontal="left" vertical="center"/>
    </xf>
    <xf numFmtId="1" fontId="11" fillId="0" borderId="0" xfId="0" applyNumberFormat="1" applyFont="1" applyAlignment="1">
      <alignment horizontal="left" vertical="center"/>
    </xf>
    <xf numFmtId="166" fontId="25" fillId="0" borderId="0" xfId="0" applyNumberFormat="1" applyFont="1" applyAlignment="1">
      <alignment horizontal="left" vertical="center"/>
    </xf>
    <xf numFmtId="0" fontId="25" fillId="3" borderId="0" xfId="0" applyFont="1" applyFill="1" applyAlignment="1">
      <alignment horizontal="left" vertical="center"/>
    </xf>
    <xf numFmtId="0" fontId="11" fillId="0" borderId="15" xfId="0" applyFont="1" applyBorder="1" applyAlignment="1">
      <alignment horizontal="left" vertical="center"/>
    </xf>
    <xf numFmtId="0" fontId="26" fillId="0" borderId="16" xfId="0" applyFont="1" applyBorder="1" applyAlignment="1">
      <alignment horizontal="left" vertical="center" wrapText="1"/>
    </xf>
    <xf numFmtId="0" fontId="25" fillId="0" borderId="1" xfId="0" applyFont="1" applyBorder="1" applyAlignment="1">
      <alignment horizontal="left" vertical="center"/>
    </xf>
    <xf numFmtId="165" fontId="12" fillId="16" borderId="1" xfId="0" applyNumberFormat="1" applyFont="1" applyFill="1" applyBorder="1" applyAlignment="1">
      <alignment horizontal="center" vertical="center" wrapText="1" shrinkToFit="1"/>
    </xf>
    <xf numFmtId="3" fontId="4" fillId="0" borderId="0" xfId="0" applyNumberFormat="1" applyFont="1" applyAlignment="1">
      <alignment horizontal="center" vertical="center"/>
    </xf>
    <xf numFmtId="49" fontId="26" fillId="0" borderId="1" xfId="0" applyNumberFormat="1" applyFont="1" applyBorder="1" applyAlignment="1">
      <alignment horizontal="left" vertical="center" wrapText="1"/>
    </xf>
    <xf numFmtId="0" fontId="27" fillId="0" borderId="1" xfId="0" applyFont="1" applyBorder="1" applyAlignment="1">
      <alignment horizontal="left" vertical="center" wrapText="1"/>
    </xf>
    <xf numFmtId="0" fontId="31" fillId="0" borderId="0" xfId="0" applyFont="1"/>
    <xf numFmtId="0" fontId="32" fillId="2" borderId="1" xfId="0" applyFont="1" applyFill="1" applyBorder="1" applyAlignment="1">
      <alignment horizontal="center" vertical="center" wrapText="1" shrinkToFit="1"/>
    </xf>
    <xf numFmtId="0" fontId="32" fillId="2" borderId="1" xfId="0" applyFont="1" applyFill="1" applyBorder="1" applyAlignment="1">
      <alignment horizontal="left" vertical="center" wrapText="1" shrinkToFit="1"/>
    </xf>
    <xf numFmtId="166" fontId="32" fillId="2" borderId="1" xfId="0" applyNumberFormat="1" applyFont="1" applyFill="1" applyBorder="1" applyAlignment="1">
      <alignment horizontal="center" vertical="center" wrapText="1" shrinkToFit="1"/>
    </xf>
    <xf numFmtId="166" fontId="32" fillId="7" borderId="1" xfId="0" applyNumberFormat="1" applyFont="1" applyFill="1" applyBorder="1" applyAlignment="1">
      <alignment horizontal="center" vertical="center" wrapText="1" shrinkToFit="1"/>
    </xf>
    <xf numFmtId="0" fontId="32" fillId="8" borderId="1" xfId="0" applyFont="1" applyFill="1" applyBorder="1" applyAlignment="1">
      <alignment horizontal="center" vertical="center" wrapText="1" shrinkToFit="1"/>
    </xf>
    <xf numFmtId="0" fontId="32" fillId="9" borderId="1" xfId="0" applyFont="1" applyFill="1" applyBorder="1" applyAlignment="1">
      <alignment horizontal="center" vertical="center" wrapText="1" shrinkToFit="1"/>
    </xf>
    <xf numFmtId="0" fontId="33" fillId="0" borderId="0" xfId="0" applyFont="1" applyAlignment="1">
      <alignment horizontal="center" vertical="center"/>
    </xf>
    <xf numFmtId="0" fontId="34" fillId="3" borderId="1" xfId="1" applyFont="1" applyFill="1" applyBorder="1" applyAlignment="1">
      <alignment horizontal="center" vertical="center" wrapText="1"/>
    </xf>
    <xf numFmtId="0" fontId="34" fillId="12" borderId="1" xfId="1" applyFont="1" applyFill="1" applyBorder="1" applyAlignment="1">
      <alignment horizontal="center" vertical="center" wrapText="1"/>
    </xf>
    <xf numFmtId="0" fontId="34" fillId="0" borderId="1" xfId="1" applyFont="1" applyFill="1" applyBorder="1" applyAlignment="1">
      <alignment horizontal="left" vertical="center" wrapText="1"/>
    </xf>
    <xf numFmtId="0" fontId="34" fillId="3" borderId="1" xfId="1" applyFont="1" applyFill="1" applyBorder="1" applyAlignment="1">
      <alignment horizontal="left" vertical="center" wrapText="1"/>
    </xf>
    <xf numFmtId="3" fontId="34" fillId="3" borderId="1" xfId="1" applyNumberFormat="1" applyFont="1" applyFill="1" applyBorder="1" applyAlignment="1">
      <alignment horizontal="center" vertical="center" wrapText="1"/>
    </xf>
    <xf numFmtId="3" fontId="34" fillId="0" borderId="1" xfId="0" applyNumberFormat="1" applyFont="1" applyBorder="1" applyAlignment="1">
      <alignment horizontal="center" vertical="center" wrapText="1"/>
    </xf>
    <xf numFmtId="3" fontId="34" fillId="3" borderId="1" xfId="0" applyNumberFormat="1" applyFont="1" applyFill="1" applyBorder="1" applyAlignment="1">
      <alignment horizontal="center" vertical="center" wrapText="1" shrinkToFit="1"/>
    </xf>
    <xf numFmtId="3" fontId="34" fillId="0" borderId="1" xfId="0" applyNumberFormat="1" applyFont="1" applyBorder="1" applyAlignment="1">
      <alignment horizontal="center" vertical="center" wrapText="1" shrinkToFit="1"/>
    </xf>
    <xf numFmtId="3" fontId="34" fillId="3" borderId="1" xfId="1" applyNumberFormat="1" applyFont="1" applyFill="1" applyBorder="1" applyAlignment="1">
      <alignment horizontal="center" vertical="center"/>
    </xf>
    <xf numFmtId="0" fontId="34" fillId="0" borderId="1" xfId="0" applyFont="1" applyBorder="1" applyAlignment="1">
      <alignment horizontal="center" vertical="center" wrapText="1" shrinkToFit="1"/>
    </xf>
    <xf numFmtId="166" fontId="34" fillId="0" borderId="1" xfId="0" applyNumberFormat="1" applyFont="1" applyBorder="1" applyAlignment="1">
      <alignment horizontal="center" vertical="center" wrapText="1" shrinkToFit="1"/>
    </xf>
    <xf numFmtId="166" fontId="34" fillId="7" borderId="1" xfId="0" applyNumberFormat="1" applyFont="1" applyFill="1" applyBorder="1" applyAlignment="1">
      <alignment horizontal="center" vertical="center" wrapText="1" shrinkToFit="1"/>
    </xf>
    <xf numFmtId="164" fontId="34" fillId="8" borderId="1" xfId="0" applyNumberFormat="1" applyFont="1" applyFill="1" applyBorder="1" applyAlignment="1">
      <alignment horizontal="center" vertical="center" wrapText="1" shrinkToFit="1"/>
    </xf>
    <xf numFmtId="0" fontId="34" fillId="8" borderId="1" xfId="0" applyFont="1" applyFill="1" applyBorder="1" applyAlignment="1">
      <alignment horizontal="center" vertical="center" wrapText="1" shrinkToFit="1"/>
    </xf>
    <xf numFmtId="164" fontId="34" fillId="9" borderId="1" xfId="0" applyNumberFormat="1" applyFont="1" applyFill="1" applyBorder="1" applyAlignment="1">
      <alignment horizontal="center" vertical="center" wrapText="1" shrinkToFit="1"/>
    </xf>
    <xf numFmtId="0" fontId="34" fillId="9" borderId="1" xfId="0" applyFont="1" applyFill="1" applyBorder="1" applyAlignment="1">
      <alignment horizontal="center" vertical="center" wrapText="1" shrinkToFit="1"/>
    </xf>
    <xf numFmtId="164" fontId="34" fillId="0" borderId="1" xfId="0" applyNumberFormat="1" applyFont="1" applyBorder="1" applyAlignment="1">
      <alignment horizontal="center" vertical="center" wrapText="1" shrinkToFit="1"/>
    </xf>
    <xf numFmtId="0" fontId="34" fillId="3" borderId="1" xfId="0" applyFont="1" applyFill="1" applyBorder="1" applyAlignment="1">
      <alignment horizontal="left" vertical="center" wrapText="1"/>
    </xf>
    <xf numFmtId="0" fontId="34" fillId="0" borderId="1" xfId="0" applyFont="1" applyBorder="1" applyAlignment="1">
      <alignment horizontal="center" vertical="center" wrapText="1"/>
    </xf>
    <xf numFmtId="0" fontId="34" fillId="12" borderId="1" xfId="0" applyFont="1" applyFill="1" applyBorder="1" applyAlignment="1">
      <alignment horizontal="center" vertical="center" wrapText="1"/>
    </xf>
    <xf numFmtId="0" fontId="34" fillId="0" borderId="1" xfId="0" applyFont="1" applyBorder="1" applyAlignment="1">
      <alignment horizontal="left" vertical="center" wrapText="1"/>
    </xf>
    <xf numFmtId="3" fontId="34" fillId="0" borderId="1" xfId="0" applyNumberFormat="1" applyFont="1" applyBorder="1" applyAlignment="1">
      <alignment horizontal="center" vertical="center"/>
    </xf>
    <xf numFmtId="166" fontId="34" fillId="3" borderId="1" xfId="0" applyNumberFormat="1" applyFont="1" applyFill="1" applyBorder="1" applyAlignment="1">
      <alignment horizontal="center" vertical="center" wrapText="1" shrinkToFit="1"/>
    </xf>
    <xf numFmtId="0" fontId="34" fillId="0" borderId="1" xfId="0" applyFont="1" applyBorder="1" applyAlignment="1">
      <alignment horizontal="left" vertical="center"/>
    </xf>
    <xf numFmtId="0" fontId="34" fillId="0" borderId="1" xfId="2" applyFont="1" applyFill="1" applyBorder="1" applyAlignment="1">
      <alignment horizontal="center" vertical="center" wrapText="1"/>
    </xf>
    <xf numFmtId="0" fontId="34" fillId="12" borderId="1" xfId="2" applyFont="1" applyFill="1" applyBorder="1" applyAlignment="1">
      <alignment horizontal="center" vertical="center" wrapText="1"/>
    </xf>
    <xf numFmtId="0" fontId="34" fillId="0" borderId="1" xfId="2" applyFont="1" applyFill="1" applyBorder="1" applyAlignment="1">
      <alignment horizontal="left" vertical="center" wrapText="1"/>
    </xf>
    <xf numFmtId="3" fontId="34" fillId="0" borderId="1" xfId="2" applyNumberFormat="1" applyFont="1" applyFill="1" applyBorder="1" applyAlignment="1">
      <alignment horizontal="center" vertical="center" wrapText="1"/>
    </xf>
    <xf numFmtId="3" fontId="34" fillId="0" borderId="1" xfId="2" applyNumberFormat="1" applyFont="1" applyFill="1" applyBorder="1" applyAlignment="1">
      <alignment horizontal="center" vertical="center"/>
    </xf>
    <xf numFmtId="3" fontId="34" fillId="3" borderId="1" xfId="0" applyNumberFormat="1" applyFont="1" applyFill="1" applyBorder="1" applyAlignment="1">
      <alignment horizontal="center" vertical="center" wrapText="1"/>
    </xf>
    <xf numFmtId="3" fontId="34" fillId="3" borderId="1" xfId="0" applyNumberFormat="1" applyFont="1" applyFill="1" applyBorder="1" applyAlignment="1">
      <alignment horizontal="center" vertical="center"/>
    </xf>
    <xf numFmtId="3" fontId="34" fillId="0" borderId="1" xfId="1" applyNumberFormat="1" applyFont="1" applyFill="1" applyBorder="1" applyAlignment="1">
      <alignment horizontal="center" vertical="center"/>
    </xf>
    <xf numFmtId="0" fontId="34" fillId="14" borderId="1" xfId="1" applyFont="1" applyFill="1" applyBorder="1" applyAlignment="1">
      <alignment horizontal="center" vertical="center" wrapText="1"/>
    </xf>
    <xf numFmtId="3" fontId="34" fillId="0" borderId="1" xfId="1" applyNumberFormat="1" applyFont="1" applyFill="1" applyBorder="1" applyAlignment="1">
      <alignment horizontal="center" vertical="center" wrapText="1"/>
    </xf>
    <xf numFmtId="0" fontId="34" fillId="3" borderId="1" xfId="0" applyFont="1" applyFill="1" applyBorder="1" applyAlignment="1">
      <alignment horizontal="center" vertical="center" wrapText="1"/>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35" fillId="0" borderId="0" xfId="0" applyFont="1" applyAlignment="1">
      <alignment horizontal="left" vertical="center"/>
    </xf>
    <xf numFmtId="0" fontId="33" fillId="0" borderId="0" xfId="0" applyFont="1" applyAlignment="1">
      <alignment horizontal="center" vertical="center" wrapText="1"/>
    </xf>
    <xf numFmtId="166" fontId="33" fillId="0" borderId="0" xfId="0" applyNumberFormat="1" applyFont="1" applyAlignment="1">
      <alignment horizontal="center" vertical="center"/>
    </xf>
    <xf numFmtId="0" fontId="35" fillId="0" borderId="0" xfId="0" applyFont="1" applyAlignment="1">
      <alignment horizontal="center" vertical="center"/>
    </xf>
    <xf numFmtId="3" fontId="33" fillId="0" borderId="0" xfId="0" applyNumberFormat="1" applyFont="1" applyAlignment="1">
      <alignment horizontal="center" vertical="center"/>
    </xf>
    <xf numFmtId="3" fontId="33" fillId="0" borderId="0" xfId="0" applyNumberFormat="1" applyFont="1" applyAlignment="1">
      <alignment horizontal="center" vertical="center" wrapText="1"/>
    </xf>
    <xf numFmtId="0" fontId="33" fillId="0" borderId="0" xfId="0" applyFont="1" applyAlignment="1">
      <alignment horizontal="left" vertical="center"/>
    </xf>
    <xf numFmtId="2" fontId="33" fillId="0" borderId="0" xfId="0" applyNumberFormat="1" applyFont="1" applyAlignment="1">
      <alignment horizontal="center" vertical="center" wrapText="1"/>
    </xf>
    <xf numFmtId="14" fontId="33" fillId="0" borderId="0" xfId="0" applyNumberFormat="1" applyFont="1" applyAlignment="1">
      <alignment horizontal="left" vertical="center"/>
    </xf>
    <xf numFmtId="0" fontId="35" fillId="0" borderId="4" xfId="0" applyFont="1" applyBorder="1" applyAlignment="1">
      <alignment horizontal="center" vertical="center"/>
    </xf>
    <xf numFmtId="0" fontId="35" fillId="0" borderId="5" xfId="0" applyFont="1" applyBorder="1" applyAlignment="1">
      <alignment horizontal="center" vertical="center"/>
    </xf>
    <xf numFmtId="2" fontId="35" fillId="0" borderId="7" xfId="0" applyNumberFormat="1" applyFont="1" applyBorder="1" applyAlignment="1">
      <alignment horizontal="center" vertical="center"/>
    </xf>
    <xf numFmtId="2" fontId="33" fillId="0" borderId="0" xfId="0" applyNumberFormat="1" applyFont="1" applyAlignment="1">
      <alignment horizontal="center" vertical="center"/>
    </xf>
    <xf numFmtId="2" fontId="35" fillId="0" borderId="9" xfId="0" applyNumberFormat="1" applyFont="1" applyBorder="1" applyAlignment="1">
      <alignment horizontal="center" vertical="center"/>
    </xf>
    <xf numFmtId="2" fontId="35" fillId="0" borderId="10" xfId="0" applyNumberFormat="1" applyFont="1" applyBorder="1" applyAlignment="1">
      <alignment horizontal="center" vertical="center"/>
    </xf>
    <xf numFmtId="0" fontId="35" fillId="0" borderId="3" xfId="0" applyFont="1" applyBorder="1" applyAlignment="1">
      <alignment vertical="center" wrapText="1"/>
    </xf>
    <xf numFmtId="14" fontId="35" fillId="0" borderId="6" xfId="0" applyNumberFormat="1" applyFont="1" applyBorder="1" applyAlignment="1">
      <alignment vertical="center" wrapText="1"/>
    </xf>
    <xf numFmtId="14" fontId="35" fillId="0" borderId="0" xfId="0" applyNumberFormat="1" applyFont="1" applyAlignment="1">
      <alignment vertical="center" wrapText="1"/>
    </xf>
    <xf numFmtId="14" fontId="32" fillId="0" borderId="0" xfId="0" applyNumberFormat="1" applyFont="1"/>
    <xf numFmtId="0" fontId="32" fillId="0" borderId="0" xfId="0" applyFont="1"/>
    <xf numFmtId="166" fontId="0" fillId="0" borderId="1" xfId="0" applyNumberFormat="1" applyBorder="1" applyAlignment="1">
      <alignment horizontal="center" vertical="center"/>
    </xf>
    <xf numFmtId="166" fontId="0" fillId="3" borderId="1" xfId="0" applyNumberFormat="1" applyFill="1" applyBorder="1" applyAlignment="1">
      <alignment horizontal="center" vertical="center"/>
    </xf>
    <xf numFmtId="166" fontId="16" fillId="0" borderId="1" xfId="0" applyNumberFormat="1" applyFont="1" applyBorder="1" applyAlignment="1">
      <alignment horizontal="center" vertical="center"/>
    </xf>
    <xf numFmtId="3" fontId="0" fillId="0" borderId="0" xfId="0" applyNumberFormat="1"/>
    <xf numFmtId="0" fontId="3" fillId="0" borderId="17" xfId="0" applyFont="1" applyBorder="1" applyAlignment="1">
      <alignment horizontal="center" vertical="center" wrapText="1"/>
    </xf>
    <xf numFmtId="167" fontId="0" fillId="0" borderId="0" xfId="3" applyNumberFormat="1" applyFont="1" applyBorder="1" applyAlignment="1">
      <alignment horizontal="center" vertical="center"/>
    </xf>
    <xf numFmtId="10" fontId="0" fillId="0" borderId="0" xfId="3" applyNumberFormat="1" applyFont="1" applyBorder="1" applyAlignment="1">
      <alignment horizontal="center" vertical="center"/>
    </xf>
    <xf numFmtId="3" fontId="0" fillId="0" borderId="15" xfId="0" applyNumberFormat="1" applyBorder="1" applyAlignment="1">
      <alignment horizontal="center" vertical="center"/>
    </xf>
    <xf numFmtId="9" fontId="0" fillId="0" borderId="15" xfId="3" applyFont="1" applyBorder="1" applyAlignment="1">
      <alignment horizontal="center" vertical="center"/>
    </xf>
    <xf numFmtId="0" fontId="0" fillId="0" borderId="0" xfId="0" applyAlignment="1">
      <alignment horizontal="center"/>
    </xf>
    <xf numFmtId="0" fontId="0" fillId="0" borderId="15" xfId="0" applyBorder="1" applyAlignment="1">
      <alignment horizontal="center" vertical="center"/>
    </xf>
    <xf numFmtId="10" fontId="0" fillId="0" borderId="0" xfId="0" applyNumberFormat="1" applyAlignment="1">
      <alignment horizontal="center" vertical="center"/>
    </xf>
    <xf numFmtId="1" fontId="0" fillId="0" borderId="0" xfId="0" applyNumberFormat="1" applyAlignment="1">
      <alignment horizontal="center" vertical="center"/>
    </xf>
    <xf numFmtId="9" fontId="0" fillId="0" borderId="0" xfId="3" applyFont="1" applyAlignment="1">
      <alignment horizontal="center" vertical="center"/>
    </xf>
    <xf numFmtId="1" fontId="0" fillId="0" borderId="15" xfId="0" applyNumberFormat="1" applyBorder="1" applyAlignment="1">
      <alignment horizontal="center" vertical="center"/>
    </xf>
    <xf numFmtId="9" fontId="0" fillId="0" borderId="0" xfId="3" applyFont="1" applyBorder="1" applyAlignment="1">
      <alignment horizontal="center" vertical="center"/>
    </xf>
    <xf numFmtId="0" fontId="3" fillId="0" borderId="0" xfId="0" applyFont="1" applyAlignment="1">
      <alignment horizontal="center" vertical="center" wrapText="1"/>
    </xf>
    <xf numFmtId="168" fontId="11" fillId="13" borderId="0" xfId="0" applyNumberFormat="1" applyFont="1" applyFill="1"/>
    <xf numFmtId="168" fontId="25" fillId="13" borderId="0" xfId="0" applyNumberFormat="1" applyFont="1" applyFill="1"/>
    <xf numFmtId="168" fontId="25" fillId="0" borderId="0" xfId="0" applyNumberFormat="1" applyFont="1"/>
    <xf numFmtId="3" fontId="25" fillId="13" borderId="0" xfId="0" applyNumberFormat="1" applyFont="1" applyFill="1"/>
    <xf numFmtId="3" fontId="11" fillId="13" borderId="0" xfId="0" applyNumberFormat="1" applyFont="1" applyFill="1"/>
    <xf numFmtId="166" fontId="25" fillId="13" borderId="0" xfId="0" applyNumberFormat="1" applyFont="1" applyFill="1"/>
    <xf numFmtId="166" fontId="11" fillId="13" borderId="0" xfId="0" applyNumberFormat="1" applyFont="1" applyFill="1"/>
    <xf numFmtId="166" fontId="4" fillId="8" borderId="1" xfId="0" applyNumberFormat="1" applyFont="1" applyFill="1" applyBorder="1" applyAlignment="1">
      <alignment horizontal="center" vertical="center" wrapText="1" shrinkToFit="1"/>
    </xf>
    <xf numFmtId="168" fontId="4" fillId="0" borderId="3" xfId="0" applyNumberFormat="1" applyFont="1" applyBorder="1" applyAlignment="1">
      <alignment horizontal="center" vertical="center"/>
    </xf>
    <xf numFmtId="168" fontId="4" fillId="0" borderId="4" xfId="0" applyNumberFormat="1" applyFont="1" applyBorder="1" applyAlignment="1">
      <alignment horizontal="center" vertical="center"/>
    </xf>
    <xf numFmtId="3" fontId="4" fillId="0" borderId="4" xfId="0" applyNumberFormat="1" applyFont="1" applyBorder="1" applyAlignment="1">
      <alignment horizontal="center" vertical="center"/>
    </xf>
    <xf numFmtId="3" fontId="4" fillId="0" borderId="5" xfId="0" applyNumberFormat="1" applyFont="1" applyBorder="1" applyAlignment="1">
      <alignment horizontal="center" vertical="center"/>
    </xf>
    <xf numFmtId="168" fontId="4" fillId="0" borderId="6" xfId="0" applyNumberFormat="1" applyFont="1" applyBorder="1" applyAlignment="1">
      <alignment horizontal="center" vertical="center"/>
    </xf>
    <xf numFmtId="168" fontId="4" fillId="0" borderId="0" xfId="0" applyNumberFormat="1" applyFont="1" applyAlignment="1">
      <alignment horizontal="center" vertical="center"/>
    </xf>
    <xf numFmtId="3" fontId="4" fillId="0" borderId="7" xfId="0" applyNumberFormat="1" applyFont="1" applyBorder="1" applyAlignment="1">
      <alignment horizontal="center" vertical="center"/>
    </xf>
    <xf numFmtId="3" fontId="4" fillId="0" borderId="8" xfId="0" applyNumberFormat="1" applyFont="1" applyBorder="1" applyAlignment="1">
      <alignment horizontal="center" vertical="center"/>
    </xf>
    <xf numFmtId="168" fontId="4" fillId="0" borderId="9"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3" fontId="0" fillId="0" borderId="0" xfId="0" applyNumberFormat="1" applyAlignment="1">
      <alignment horizontal="center"/>
    </xf>
    <xf numFmtId="0" fontId="3" fillId="0" borderId="17" xfId="0" applyFont="1" applyBorder="1" applyAlignment="1">
      <alignment horizontal="center"/>
    </xf>
    <xf numFmtId="166" fontId="22" fillId="0" borderId="1" xfId="0" applyNumberFormat="1" applyFont="1" applyBorder="1" applyAlignment="1">
      <alignment horizontal="center" vertical="center" wrapText="1" shrinkToFit="1"/>
    </xf>
    <xf numFmtId="0" fontId="3" fillId="0" borderId="18" xfId="0" applyFont="1" applyBorder="1"/>
    <xf numFmtId="0" fontId="3" fillId="0" borderId="18" xfId="0" applyFont="1" applyBorder="1" applyAlignment="1">
      <alignment wrapText="1"/>
    </xf>
    <xf numFmtId="0" fontId="3" fillId="0" borderId="14"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xf numFmtId="0" fontId="0" fillId="0" borderId="18" xfId="0" applyBorder="1"/>
    <xf numFmtId="0" fontId="0" fillId="0" borderId="19" xfId="0" applyBorder="1"/>
    <xf numFmtId="3" fontId="0" fillId="0" borderId="17" xfId="0" applyNumberFormat="1" applyBorder="1"/>
    <xf numFmtId="169" fontId="4" fillId="2" borderId="1" xfId="0" applyNumberFormat="1" applyFont="1" applyFill="1" applyBorder="1" applyAlignment="1">
      <alignment horizontal="center" vertical="center" wrapText="1" shrinkToFit="1"/>
    </xf>
    <xf numFmtId="169" fontId="11" fillId="13" borderId="0" xfId="0" applyNumberFormat="1" applyFont="1" applyFill="1"/>
    <xf numFmtId="3" fontId="0" fillId="0" borderId="14" xfId="0" applyNumberFormat="1" applyBorder="1"/>
    <xf numFmtId="166" fontId="18" fillId="3" borderId="1" xfId="0" applyNumberFormat="1" applyFont="1" applyFill="1" applyBorder="1" applyAlignment="1">
      <alignment horizontal="center" vertical="center" wrapText="1" shrinkToFit="1"/>
    </xf>
    <xf numFmtId="3" fontId="0" fillId="0" borderId="24" xfId="0" applyNumberFormat="1" applyBorder="1" applyAlignment="1">
      <alignment horizontal="center" vertical="center"/>
    </xf>
    <xf numFmtId="0" fontId="3" fillId="17" borderId="29" xfId="0" applyFont="1" applyFill="1" applyBorder="1" applyAlignment="1">
      <alignment horizontal="center" vertical="center" wrapText="1"/>
    </xf>
    <xf numFmtId="3" fontId="3" fillId="17" borderId="26" xfId="0" applyNumberFormat="1" applyFont="1" applyFill="1" applyBorder="1" applyAlignment="1">
      <alignment horizontal="center" vertical="center" wrapText="1"/>
    </xf>
    <xf numFmtId="0" fontId="3" fillId="17" borderId="26" xfId="0" applyFont="1" applyFill="1" applyBorder="1" applyAlignment="1">
      <alignment horizontal="center" vertical="center" wrapText="1"/>
    </xf>
    <xf numFmtId="0" fontId="3" fillId="17" borderId="27" xfId="0" applyFont="1" applyFill="1" applyBorder="1" applyAlignment="1">
      <alignment horizontal="center" vertical="center" wrapText="1"/>
    </xf>
    <xf numFmtId="0" fontId="3" fillId="18" borderId="29" xfId="0" applyFont="1" applyFill="1" applyBorder="1" applyAlignment="1">
      <alignment horizontal="center" vertical="center" wrapText="1"/>
    </xf>
    <xf numFmtId="3" fontId="3" fillId="18" borderId="26" xfId="0" applyNumberFormat="1" applyFont="1" applyFill="1" applyBorder="1" applyAlignment="1">
      <alignment horizontal="center" vertical="center" wrapText="1"/>
    </xf>
    <xf numFmtId="0" fontId="3" fillId="18" borderId="26" xfId="0" applyFont="1" applyFill="1" applyBorder="1" applyAlignment="1">
      <alignment horizontal="center" vertical="center" wrapText="1"/>
    </xf>
    <xf numFmtId="0" fontId="3" fillId="18" borderId="27" xfId="0" applyFont="1" applyFill="1" applyBorder="1" applyAlignment="1">
      <alignment horizontal="center" vertical="center" wrapText="1"/>
    </xf>
    <xf numFmtId="0" fontId="3" fillId="18" borderId="28" xfId="0" applyFont="1" applyFill="1" applyBorder="1" applyAlignment="1">
      <alignment horizontal="center" vertical="center"/>
    </xf>
    <xf numFmtId="0" fontId="3" fillId="17" borderId="32" xfId="0" applyFont="1" applyFill="1" applyBorder="1" applyAlignment="1">
      <alignment horizontal="center" vertical="center" wrapText="1"/>
    </xf>
    <xf numFmtId="3" fontId="3" fillId="17" borderId="32" xfId="0" applyNumberFormat="1" applyFont="1" applyFill="1" applyBorder="1" applyAlignment="1">
      <alignment horizontal="center" vertical="center" wrapText="1"/>
    </xf>
    <xf numFmtId="0" fontId="3" fillId="17" borderId="33" xfId="0" applyFont="1" applyFill="1" applyBorder="1" applyAlignment="1">
      <alignment horizontal="center" vertical="center" wrapText="1"/>
    </xf>
    <xf numFmtId="0" fontId="0" fillId="0" borderId="34" xfId="0" applyBorder="1"/>
    <xf numFmtId="0" fontId="0" fillId="0" borderId="35" xfId="0" applyBorder="1"/>
    <xf numFmtId="167" fontId="0" fillId="0" borderId="0" xfId="0" applyNumberFormat="1" applyAlignment="1">
      <alignment horizontal="center"/>
    </xf>
    <xf numFmtId="167" fontId="0" fillId="0" borderId="21" xfId="0" applyNumberFormat="1" applyBorder="1" applyAlignment="1">
      <alignment horizontal="center"/>
    </xf>
    <xf numFmtId="3" fontId="0" fillId="0" borderId="37" xfId="0" applyNumberFormat="1" applyBorder="1" applyAlignment="1">
      <alignment horizontal="center"/>
    </xf>
    <xf numFmtId="167" fontId="0" fillId="0" borderId="37" xfId="0" applyNumberFormat="1" applyBorder="1" applyAlignment="1">
      <alignment horizontal="center"/>
    </xf>
    <xf numFmtId="167" fontId="0" fillId="0" borderId="38" xfId="0" applyNumberFormat="1" applyBorder="1" applyAlignment="1">
      <alignment horizontal="center"/>
    </xf>
    <xf numFmtId="3" fontId="0" fillId="0" borderId="40" xfId="0" applyNumberFormat="1" applyBorder="1" applyAlignment="1">
      <alignment horizontal="center"/>
    </xf>
    <xf numFmtId="167" fontId="0" fillId="0" borderId="40" xfId="0" applyNumberFormat="1" applyBorder="1" applyAlignment="1">
      <alignment horizontal="center"/>
    </xf>
    <xf numFmtId="167" fontId="0" fillId="0" borderId="41" xfId="0" applyNumberFormat="1" applyBorder="1" applyAlignment="1">
      <alignment horizontal="center"/>
    </xf>
    <xf numFmtId="0" fontId="3" fillId="0" borderId="42" xfId="0" applyFont="1" applyBorder="1" applyAlignment="1">
      <alignment horizontal="center" vertical="center"/>
    </xf>
    <xf numFmtId="3" fontId="0" fillId="0" borderId="43" xfId="0" applyNumberFormat="1" applyBorder="1" applyAlignment="1">
      <alignment horizontal="center" vertical="center"/>
    </xf>
    <xf numFmtId="0" fontId="0" fillId="0" borderId="44" xfId="0" applyBorder="1" applyAlignment="1">
      <alignment horizontal="center" vertical="center"/>
    </xf>
    <xf numFmtId="3" fontId="0" fillId="0" borderId="37" xfId="0" applyNumberFormat="1" applyBorder="1" applyAlignment="1">
      <alignment horizontal="center" vertical="center"/>
    </xf>
    <xf numFmtId="167" fontId="0" fillId="0" borderId="37" xfId="3" applyNumberFormat="1" applyFont="1" applyBorder="1" applyAlignment="1">
      <alignment horizontal="center" vertical="center"/>
    </xf>
    <xf numFmtId="0" fontId="3" fillId="0" borderId="45" xfId="0" applyFont="1" applyBorder="1" applyAlignment="1">
      <alignment horizontal="center" vertical="center"/>
    </xf>
    <xf numFmtId="167" fontId="0" fillId="0" borderId="49" xfId="3" applyNumberFormat="1" applyFont="1" applyBorder="1" applyAlignment="1">
      <alignment horizontal="center" vertical="center"/>
    </xf>
    <xf numFmtId="167" fontId="0" fillId="0" borderId="51" xfId="3" applyNumberFormat="1" applyFont="1" applyBorder="1" applyAlignment="1">
      <alignment horizontal="center" vertical="center"/>
    </xf>
    <xf numFmtId="0" fontId="0" fillId="0" borderId="49" xfId="0" applyBorder="1" applyAlignment="1">
      <alignment horizontal="center" vertical="center"/>
    </xf>
    <xf numFmtId="3" fontId="0" fillId="0" borderId="55" xfId="0" applyNumberFormat="1" applyBorder="1" applyAlignment="1">
      <alignment horizontal="center" vertical="center"/>
    </xf>
    <xf numFmtId="0" fontId="0" fillId="0" borderId="56" xfId="0" applyBorder="1" applyAlignment="1">
      <alignment horizontal="center" vertical="center"/>
    </xf>
    <xf numFmtId="3" fontId="0" fillId="0" borderId="57" xfId="0" applyNumberFormat="1" applyBorder="1" applyAlignment="1">
      <alignment horizontal="center" vertical="center"/>
    </xf>
    <xf numFmtId="167" fontId="0" fillId="0" borderId="24" xfId="3" applyNumberFormat="1" applyFont="1" applyBorder="1" applyAlignment="1">
      <alignment horizontal="center" vertical="center"/>
    </xf>
    <xf numFmtId="167" fontId="0" fillId="0" borderId="53" xfId="3" applyNumberFormat="1" applyFont="1" applyBorder="1" applyAlignment="1">
      <alignment horizontal="center" vertical="center"/>
    </xf>
    <xf numFmtId="0" fontId="3" fillId="19" borderId="46" xfId="0" applyFont="1" applyFill="1" applyBorder="1" applyAlignment="1">
      <alignment horizontal="center" vertical="center" wrapText="1"/>
    </xf>
    <xf numFmtId="0" fontId="3" fillId="19" borderId="47" xfId="0" applyFont="1" applyFill="1" applyBorder="1" applyAlignment="1">
      <alignment horizontal="center" vertical="center" wrapText="1"/>
    </xf>
    <xf numFmtId="0" fontId="3" fillId="0" borderId="58" xfId="0" applyFont="1" applyBorder="1" applyAlignment="1">
      <alignment horizontal="center" vertical="center" wrapText="1"/>
    </xf>
    <xf numFmtId="10" fontId="0" fillId="0" borderId="49" xfId="3" applyNumberFormat="1" applyFont="1" applyBorder="1" applyAlignment="1">
      <alignment horizontal="center" vertical="center"/>
    </xf>
    <xf numFmtId="0" fontId="3" fillId="0" borderId="61" xfId="0" applyFont="1" applyBorder="1" applyAlignment="1">
      <alignment horizontal="center" vertical="center" wrapText="1"/>
    </xf>
    <xf numFmtId="0" fontId="0" fillId="0" borderId="62" xfId="0" applyBorder="1" applyAlignment="1">
      <alignment horizontal="center" vertical="center"/>
    </xf>
    <xf numFmtId="3" fontId="0" fillId="0" borderId="62" xfId="0" applyNumberFormat="1" applyBorder="1" applyAlignment="1">
      <alignment horizontal="center" vertical="center"/>
    </xf>
    <xf numFmtId="9" fontId="0" fillId="0" borderId="62" xfId="3" applyFont="1" applyBorder="1" applyAlignment="1">
      <alignment horizontal="center" vertical="center"/>
    </xf>
    <xf numFmtId="9" fontId="0" fillId="0" borderId="63" xfId="3" applyFont="1" applyBorder="1" applyAlignment="1">
      <alignment horizontal="center" vertical="center"/>
    </xf>
    <xf numFmtId="0" fontId="3" fillId="0" borderId="64" xfId="0" applyFont="1" applyBorder="1" applyAlignment="1">
      <alignment horizontal="center" vertical="center"/>
    </xf>
    <xf numFmtId="0" fontId="3" fillId="19" borderId="65" xfId="0" applyFont="1" applyFill="1" applyBorder="1" applyAlignment="1">
      <alignment horizontal="center" vertical="center" wrapText="1"/>
    </xf>
    <xf numFmtId="3" fontId="3" fillId="19" borderId="66" xfId="0" applyNumberFormat="1" applyFont="1" applyFill="1" applyBorder="1" applyAlignment="1">
      <alignment horizontal="center" vertical="center" wrapText="1"/>
    </xf>
    <xf numFmtId="0" fontId="3" fillId="20" borderId="59" xfId="0" applyFont="1" applyFill="1" applyBorder="1" applyAlignment="1">
      <alignment horizontal="center" vertical="center" wrapText="1"/>
    </xf>
    <xf numFmtId="0" fontId="0" fillId="20" borderId="57" xfId="0" applyFill="1" applyBorder="1" applyAlignment="1">
      <alignment horizontal="center" vertical="center"/>
    </xf>
    <xf numFmtId="3" fontId="0" fillId="20" borderId="57" xfId="0" applyNumberFormat="1" applyFill="1" applyBorder="1" applyAlignment="1">
      <alignment horizontal="center" vertical="center"/>
    </xf>
    <xf numFmtId="167" fontId="0" fillId="20" borderId="57" xfId="3" applyNumberFormat="1" applyFont="1" applyFill="1" applyBorder="1" applyAlignment="1">
      <alignment horizontal="center" vertical="center"/>
    </xf>
    <xf numFmtId="167" fontId="0" fillId="20" borderId="60" xfId="3" applyNumberFormat="1" applyFont="1" applyFill="1" applyBorder="1" applyAlignment="1">
      <alignment horizontal="center" vertical="center"/>
    </xf>
    <xf numFmtId="0" fontId="3" fillId="20" borderId="58" xfId="0" applyFont="1" applyFill="1" applyBorder="1" applyAlignment="1">
      <alignment horizontal="center" vertical="center" wrapText="1"/>
    </xf>
    <xf numFmtId="0" fontId="0" fillId="20" borderId="0" xfId="0" applyFill="1" applyAlignment="1">
      <alignment horizontal="center" vertical="center" wrapText="1"/>
    </xf>
    <xf numFmtId="3" fontId="0" fillId="20" borderId="0" xfId="0" applyNumberFormat="1" applyFill="1" applyAlignment="1">
      <alignment horizontal="center" vertical="center"/>
    </xf>
    <xf numFmtId="167" fontId="0" fillId="20" borderId="0" xfId="3" applyNumberFormat="1" applyFont="1" applyFill="1" applyBorder="1" applyAlignment="1">
      <alignment horizontal="center" vertical="center"/>
    </xf>
    <xf numFmtId="167" fontId="0" fillId="20" borderId="49" xfId="3" applyNumberFormat="1" applyFont="1" applyFill="1" applyBorder="1" applyAlignment="1">
      <alignment horizontal="center" vertical="center"/>
    </xf>
    <xf numFmtId="3" fontId="0" fillId="20" borderId="0" xfId="0" applyNumberFormat="1" applyFill="1" applyAlignment="1">
      <alignment horizontal="center"/>
    </xf>
    <xf numFmtId="0" fontId="3" fillId="0" borderId="67" xfId="0" applyFont="1" applyBorder="1" applyAlignment="1">
      <alignment horizontal="center" vertical="center" wrapText="1"/>
    </xf>
    <xf numFmtId="0" fontId="0" fillId="0" borderId="68" xfId="0" applyBorder="1" applyAlignment="1">
      <alignment horizontal="center" vertical="center" wrapText="1"/>
    </xf>
    <xf numFmtId="0" fontId="3" fillId="0" borderId="69" xfId="0" applyFont="1" applyBorder="1" applyAlignment="1">
      <alignment horizontal="center" vertical="center" wrapText="1"/>
    </xf>
    <xf numFmtId="0" fontId="0" fillId="0" borderId="70" xfId="0" applyBorder="1" applyAlignment="1">
      <alignment horizontal="center" vertical="center"/>
    </xf>
    <xf numFmtId="3" fontId="0" fillId="0" borderId="70" xfId="0" applyNumberFormat="1" applyBorder="1" applyAlignment="1">
      <alignment horizontal="center" vertical="center"/>
    </xf>
    <xf numFmtId="167" fontId="0" fillId="0" borderId="70" xfId="3" applyNumberFormat="1" applyFont="1" applyBorder="1" applyAlignment="1">
      <alignment horizontal="center" vertical="center"/>
    </xf>
    <xf numFmtId="167" fontId="0" fillId="0" borderId="71" xfId="3" applyNumberFormat="1" applyFont="1" applyBorder="1" applyAlignment="1">
      <alignment horizontal="center" vertical="center"/>
    </xf>
    <xf numFmtId="0" fontId="0" fillId="20" borderId="35" xfId="0" applyFill="1" applyBorder="1"/>
    <xf numFmtId="167" fontId="0" fillId="20" borderId="0" xfId="0" applyNumberFormat="1" applyFill="1" applyAlignment="1">
      <alignment horizontal="center"/>
    </xf>
    <xf numFmtId="167" fontId="0" fillId="20" borderId="21" xfId="0" applyNumberFormat="1" applyFill="1" applyBorder="1" applyAlignment="1">
      <alignment horizontal="center"/>
    </xf>
    <xf numFmtId="0" fontId="0" fillId="0" borderId="36" xfId="0" applyBorder="1"/>
    <xf numFmtId="0" fontId="0" fillId="0" borderId="39" xfId="0" applyBorder="1"/>
    <xf numFmtId="0" fontId="3" fillId="17" borderId="72" xfId="0" applyFont="1" applyFill="1" applyBorder="1" applyAlignment="1">
      <alignment horizontal="center" vertical="center" wrapText="1"/>
    </xf>
    <xf numFmtId="3" fontId="3" fillId="17" borderId="72" xfId="0" applyNumberFormat="1" applyFont="1" applyFill="1" applyBorder="1" applyAlignment="1">
      <alignment horizontal="center" vertical="center" wrapText="1"/>
    </xf>
    <xf numFmtId="0" fontId="3" fillId="17" borderId="73" xfId="0" applyFont="1" applyFill="1" applyBorder="1" applyAlignment="1">
      <alignment horizontal="center" vertical="center" wrapText="1"/>
    </xf>
    <xf numFmtId="167" fontId="0" fillId="0" borderId="0" xfId="3" applyNumberFormat="1" applyFont="1" applyBorder="1"/>
    <xf numFmtId="167" fontId="0" fillId="0" borderId="49" xfId="3" applyNumberFormat="1" applyFont="1" applyBorder="1"/>
    <xf numFmtId="3" fontId="0" fillId="20" borderId="0" xfId="0" applyNumberFormat="1" applyFill="1"/>
    <xf numFmtId="167" fontId="0" fillId="20" borderId="0" xfId="3" applyNumberFormat="1" applyFont="1" applyFill="1" applyBorder="1"/>
    <xf numFmtId="167" fontId="0" fillId="20" borderId="49" xfId="3" applyNumberFormat="1" applyFont="1" applyFill="1" applyBorder="1"/>
    <xf numFmtId="0" fontId="0" fillId="0" borderId="74" xfId="0" applyBorder="1"/>
    <xf numFmtId="0" fontId="0" fillId="0" borderId="75" xfId="0" applyBorder="1"/>
    <xf numFmtId="0" fontId="0" fillId="20" borderId="75" xfId="0" applyFill="1" applyBorder="1"/>
    <xf numFmtId="0" fontId="0" fillId="0" borderId="76" xfId="0" applyBorder="1"/>
    <xf numFmtId="0" fontId="0" fillId="0" borderId="75" xfId="0" applyBorder="1" applyAlignment="1">
      <alignment wrapText="1"/>
    </xf>
    <xf numFmtId="0" fontId="0" fillId="20" borderId="76" xfId="0" applyFill="1" applyBorder="1"/>
    <xf numFmtId="3" fontId="0" fillId="20" borderId="57" xfId="0" applyNumberFormat="1" applyFill="1" applyBorder="1"/>
    <xf numFmtId="167" fontId="0" fillId="20" borderId="57" xfId="3" applyNumberFormat="1" applyFont="1" applyFill="1" applyBorder="1"/>
    <xf numFmtId="167" fontId="0" fillId="20" borderId="60" xfId="3" applyNumberFormat="1" applyFont="1" applyFill="1" applyBorder="1"/>
    <xf numFmtId="0" fontId="0" fillId="0" borderId="77" xfId="0" applyBorder="1"/>
    <xf numFmtId="3" fontId="0" fillId="0" borderId="78" xfId="0" applyNumberFormat="1" applyBorder="1"/>
    <xf numFmtId="167" fontId="0" fillId="0" borderId="78" xfId="3" applyNumberFormat="1" applyFont="1" applyBorder="1"/>
    <xf numFmtId="167" fontId="0" fillId="0" borderId="79" xfId="3" applyNumberFormat="1" applyFont="1" applyBorder="1"/>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0" fillId="20" borderId="48" xfId="0" applyFill="1" applyBorder="1" applyAlignment="1">
      <alignment horizontal="center" vertical="center"/>
    </xf>
    <xf numFmtId="0" fontId="0" fillId="20" borderId="50" xfId="0" applyFill="1" applyBorder="1" applyAlignment="1">
      <alignment horizontal="center" vertical="center" wrapText="1"/>
    </xf>
    <xf numFmtId="0" fontId="0" fillId="0" borderId="52" xfId="0" applyBorder="1" applyAlignment="1">
      <alignment horizontal="center" vertical="center" wrapText="1"/>
    </xf>
    <xf numFmtId="0" fontId="0" fillId="0" borderId="54" xfId="0" applyBorder="1" applyAlignment="1">
      <alignment horizontal="center" vertical="center" wrapText="1"/>
    </xf>
    <xf numFmtId="167" fontId="0" fillId="0" borderId="0" xfId="3" applyNumberFormat="1" applyFont="1" applyBorder="1" applyAlignment="1">
      <alignment horizontal="center"/>
    </xf>
    <xf numFmtId="167" fontId="0" fillId="0" borderId="49" xfId="3" applyNumberFormat="1" applyFont="1" applyBorder="1" applyAlignment="1">
      <alignment horizontal="center"/>
    </xf>
    <xf numFmtId="3" fontId="0" fillId="0" borderId="78" xfId="0" applyNumberFormat="1" applyBorder="1" applyAlignment="1">
      <alignment horizontal="center"/>
    </xf>
    <xf numFmtId="167" fontId="0" fillId="0" borderId="78" xfId="3" applyNumberFormat="1" applyFont="1" applyBorder="1" applyAlignment="1">
      <alignment horizontal="center"/>
    </xf>
    <xf numFmtId="167" fontId="0" fillId="0" borderId="79" xfId="3" applyNumberFormat="1" applyFont="1" applyBorder="1" applyAlignment="1">
      <alignment horizontal="center"/>
    </xf>
    <xf numFmtId="0" fontId="0" fillId="0" borderId="80" xfId="0" applyBorder="1"/>
    <xf numFmtId="0" fontId="3" fillId="0" borderId="77" xfId="0" applyFont="1" applyBorder="1"/>
    <xf numFmtId="0" fontId="3" fillId="17" borderId="28" xfId="0" applyFont="1" applyFill="1" applyBorder="1" applyAlignment="1">
      <alignment horizontal="center" vertical="center"/>
    </xf>
    <xf numFmtId="3" fontId="0" fillId="0" borderId="43" xfId="0" applyNumberFormat="1" applyBorder="1"/>
    <xf numFmtId="3" fontId="0" fillId="0" borderId="44" xfId="0" applyNumberFormat="1" applyBorder="1" applyAlignment="1">
      <alignment horizontal="center" vertical="center"/>
    </xf>
    <xf numFmtId="0" fontId="0" fillId="21" borderId="0" xfId="0" applyFill="1"/>
    <xf numFmtId="3" fontId="0" fillId="21" borderId="0" xfId="0" applyNumberFormat="1" applyFill="1"/>
    <xf numFmtId="0" fontId="3" fillId="21" borderId="20" xfId="0" applyFont="1" applyFill="1" applyBorder="1" applyAlignment="1">
      <alignment horizontal="center" vertical="center"/>
    </xf>
    <xf numFmtId="3" fontId="0" fillId="21" borderId="0" xfId="0" applyNumberFormat="1" applyFill="1" applyAlignment="1">
      <alignment horizontal="center" vertical="center"/>
    </xf>
    <xf numFmtId="9" fontId="0" fillId="21" borderId="0" xfId="3" applyFont="1" applyFill="1" applyBorder="1" applyAlignment="1">
      <alignment horizontal="center" vertical="center"/>
    </xf>
    <xf numFmtId="9" fontId="0" fillId="21" borderId="21" xfId="3" applyFont="1" applyFill="1" applyBorder="1" applyAlignment="1">
      <alignment horizontal="center" vertical="center"/>
    </xf>
    <xf numFmtId="0" fontId="3" fillId="21" borderId="22" xfId="0" applyFont="1" applyFill="1" applyBorder="1" applyAlignment="1">
      <alignment horizontal="center" vertical="center"/>
    </xf>
    <xf numFmtId="3" fontId="0" fillId="21" borderId="23" xfId="0" applyNumberFormat="1" applyFill="1" applyBorder="1" applyAlignment="1">
      <alignment horizontal="center" vertical="center"/>
    </xf>
    <xf numFmtId="9" fontId="0" fillId="21" borderId="24" xfId="0" applyNumberFormat="1" applyFill="1" applyBorder="1" applyAlignment="1">
      <alignment horizontal="center" vertical="center"/>
    </xf>
    <xf numFmtId="3" fontId="0" fillId="21" borderId="24" xfId="0" applyNumberFormat="1" applyFill="1" applyBorder="1" applyAlignment="1">
      <alignment horizontal="center" vertical="center"/>
    </xf>
    <xf numFmtId="9" fontId="0" fillId="21" borderId="25" xfId="0" applyNumberFormat="1" applyFill="1" applyBorder="1" applyAlignment="1">
      <alignment horizontal="center" vertical="center"/>
    </xf>
    <xf numFmtId="9" fontId="0" fillId="21" borderId="40" xfId="3" applyFont="1" applyFill="1" applyBorder="1" applyAlignment="1">
      <alignment horizontal="center" vertical="center"/>
    </xf>
    <xf numFmtId="3" fontId="0" fillId="21" borderId="40" xfId="0" applyNumberFormat="1" applyFill="1" applyBorder="1" applyAlignment="1">
      <alignment horizontal="center" vertical="center"/>
    </xf>
    <xf numFmtId="9" fontId="0" fillId="21" borderId="41" xfId="3" applyFont="1" applyFill="1" applyBorder="1" applyAlignment="1">
      <alignment horizontal="center" vertical="center"/>
    </xf>
    <xf numFmtId="0" fontId="36" fillId="21" borderId="81" xfId="0" applyFont="1" applyFill="1" applyBorder="1" applyAlignment="1">
      <alignment horizontal="center"/>
    </xf>
    <xf numFmtId="3" fontId="37" fillId="21" borderId="82" xfId="0" applyNumberFormat="1" applyFont="1" applyFill="1" applyBorder="1" applyAlignment="1">
      <alignment horizontal="center"/>
    </xf>
    <xf numFmtId="3" fontId="37" fillId="21" borderId="30" xfId="0" applyNumberFormat="1" applyFont="1" applyFill="1" applyBorder="1" applyAlignment="1">
      <alignment horizontal="center"/>
    </xf>
    <xf numFmtId="3" fontId="0" fillId="21" borderId="31" xfId="0" applyNumberFormat="1" applyFill="1" applyBorder="1" applyAlignment="1">
      <alignment horizontal="center"/>
    </xf>
    <xf numFmtId="166" fontId="5" fillId="0" borderId="1" xfId="0" applyNumberFormat="1" applyFont="1" applyBorder="1" applyAlignment="1">
      <alignment horizontal="center" vertical="center" wrapText="1"/>
    </xf>
    <xf numFmtId="166" fontId="0" fillId="3" borderId="0" xfId="0" applyNumberFormat="1" applyFill="1" applyAlignment="1">
      <alignment horizontal="center" vertical="center"/>
    </xf>
    <xf numFmtId="166" fontId="33" fillId="3" borderId="0" xfId="0" applyNumberFormat="1" applyFont="1" applyFill="1" applyAlignment="1">
      <alignment horizontal="center" vertical="center"/>
    </xf>
    <xf numFmtId="0" fontId="34" fillId="0" borderId="1" xfId="0" applyFont="1" applyBorder="1" applyAlignment="1">
      <alignment vertical="center"/>
    </xf>
    <xf numFmtId="0" fontId="34" fillId="0" borderId="1" xfId="0" applyFont="1" applyBorder="1" applyAlignment="1">
      <alignment horizontal="center" vertical="center"/>
    </xf>
    <xf numFmtId="2" fontId="35" fillId="0" borderId="0" xfId="0" applyNumberFormat="1" applyFont="1" applyAlignment="1">
      <alignment horizontal="center" vertical="center"/>
    </xf>
    <xf numFmtId="166" fontId="32" fillId="8" borderId="1" xfId="0" applyNumberFormat="1" applyFont="1" applyFill="1" applyBorder="1" applyAlignment="1">
      <alignment horizontal="center" vertical="center" wrapText="1" shrinkToFit="1"/>
    </xf>
    <xf numFmtId="166" fontId="34" fillId="8" borderId="1" xfId="0" applyNumberFormat="1" applyFont="1" applyFill="1" applyBorder="1" applyAlignment="1">
      <alignment horizontal="center" vertical="center" wrapText="1" shrinkToFit="1"/>
    </xf>
    <xf numFmtId="166" fontId="32" fillId="9" borderId="1" xfId="0" applyNumberFormat="1" applyFont="1" applyFill="1" applyBorder="1" applyAlignment="1">
      <alignment horizontal="center" vertical="center" wrapText="1" shrinkToFit="1"/>
    </xf>
    <xf numFmtId="166" fontId="34" fillId="9" borderId="1" xfId="0" applyNumberFormat="1" applyFont="1" applyFill="1" applyBorder="1" applyAlignment="1">
      <alignment horizontal="center" vertical="center" wrapText="1" shrinkToFit="1"/>
    </xf>
    <xf numFmtId="168" fontId="2" fillId="0" borderId="0" xfId="0" applyNumberFormat="1" applyFont="1"/>
    <xf numFmtId="169" fontId="2" fillId="0" borderId="0" xfId="0" applyNumberFormat="1" applyFont="1"/>
    <xf numFmtId="3" fontId="2" fillId="0" borderId="0" xfId="0" applyNumberFormat="1" applyFont="1"/>
    <xf numFmtId="166" fontId="2" fillId="0" borderId="0" xfId="0" applyNumberFormat="1" applyFont="1"/>
    <xf numFmtId="1" fontId="25" fillId="13" borderId="0" xfId="0" applyNumberFormat="1" applyFont="1" applyFill="1"/>
    <xf numFmtId="1" fontId="2" fillId="0" borderId="0" xfId="0" applyNumberFormat="1" applyFont="1"/>
    <xf numFmtId="1" fontId="11" fillId="13" borderId="0" xfId="0" applyNumberFormat="1" applyFont="1" applyFill="1"/>
    <xf numFmtId="1" fontId="5" fillId="3" borderId="1" xfId="0" applyNumberFormat="1" applyFont="1" applyFill="1" applyBorder="1" applyAlignment="1">
      <alignment horizontal="center" vertical="center" wrapText="1" shrinkToFit="1"/>
    </xf>
    <xf numFmtId="170" fontId="5" fillId="0" borderId="1" xfId="4" applyNumberFormat="1" applyFont="1" applyBorder="1" applyAlignment="1">
      <alignment horizontal="center" vertical="center" wrapText="1" shrinkToFit="1"/>
    </xf>
    <xf numFmtId="170" fontId="0" fillId="0" borderId="0" xfId="4" applyNumberFormat="1" applyFont="1" applyAlignment="1">
      <alignment horizontal="center" vertical="center"/>
    </xf>
    <xf numFmtId="0" fontId="4" fillId="22" borderId="1" xfId="0" applyFont="1" applyFill="1" applyBorder="1" applyAlignment="1">
      <alignment horizontal="center" vertical="center" wrapText="1" shrinkToFit="1"/>
    </xf>
    <xf numFmtId="1" fontId="4" fillId="22" borderId="1" xfId="0" applyNumberFormat="1" applyFont="1" applyFill="1" applyBorder="1" applyAlignment="1">
      <alignment horizontal="center" vertical="center" wrapText="1" shrinkToFit="1"/>
    </xf>
    <xf numFmtId="166" fontId="4" fillId="22" borderId="1" xfId="0" applyNumberFormat="1" applyFont="1" applyFill="1" applyBorder="1" applyAlignment="1">
      <alignment horizontal="center" vertical="center" wrapText="1" shrinkToFit="1"/>
    </xf>
    <xf numFmtId="170" fontId="4" fillId="22" borderId="1" xfId="4" applyNumberFormat="1" applyFont="1" applyFill="1" applyBorder="1" applyAlignment="1">
      <alignment horizontal="center" vertical="center" wrapText="1" shrinkToFit="1"/>
    </xf>
    <xf numFmtId="170" fontId="32" fillId="22" borderId="1" xfId="4" applyNumberFormat="1" applyFont="1" applyFill="1" applyBorder="1" applyAlignment="1">
      <alignment horizontal="center" vertical="center" wrapText="1" shrinkToFit="1"/>
    </xf>
    <xf numFmtId="170" fontId="34" fillId="0" borderId="1" xfId="4" applyNumberFormat="1" applyFont="1" applyBorder="1" applyAlignment="1">
      <alignment horizontal="center" vertical="center" wrapText="1" shrinkToFit="1"/>
    </xf>
    <xf numFmtId="170" fontId="33" fillId="0" borderId="0" xfId="4" applyNumberFormat="1" applyFont="1" applyAlignment="1">
      <alignment horizontal="center" vertical="center"/>
    </xf>
    <xf numFmtId="164" fontId="1" fillId="0" borderId="1" xfId="0" applyNumberFormat="1" applyFont="1" applyBorder="1" applyAlignment="1">
      <alignment horizontal="center" vertical="center" wrapText="1" shrinkToFit="1"/>
    </xf>
    <xf numFmtId="2" fontId="0" fillId="0" borderId="6" xfId="0" applyNumberFormat="1" applyBorder="1" applyAlignment="1">
      <alignment horizontal="center" vertical="center" wrapText="1"/>
    </xf>
    <xf numFmtId="2" fontId="0" fillId="0" borderId="0" xfId="0" applyNumberFormat="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6" xfId="0" applyFont="1" applyBorder="1" applyAlignment="1">
      <alignment horizontal="center"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14" fontId="3" fillId="0" borderId="6" xfId="0" applyNumberFormat="1" applyFont="1" applyBorder="1" applyAlignment="1">
      <alignment horizontal="center" vertical="center" wrapText="1"/>
    </xf>
    <xf numFmtId="14" fontId="3" fillId="0" borderId="0" xfId="0" applyNumberFormat="1" applyFont="1" applyAlignment="1">
      <alignment horizontal="center" vertical="center" wrapText="1"/>
    </xf>
    <xf numFmtId="0" fontId="35" fillId="0" borderId="3"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0" xfId="0" applyFont="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166" fontId="1" fillId="3" borderId="1" xfId="0" applyNumberFormat="1" applyFont="1" applyFill="1" applyBorder="1" applyAlignment="1">
      <alignment horizontal="center" vertical="center" wrapText="1" shrinkToFit="1"/>
    </xf>
    <xf numFmtId="0" fontId="1" fillId="0" borderId="1" xfId="0" applyFont="1" applyBorder="1" applyAlignment="1">
      <alignment horizontal="center" vertical="center" wrapText="1" shrinkToFit="1"/>
    </xf>
    <xf numFmtId="0" fontId="1" fillId="7" borderId="1" xfId="0" applyFont="1" applyFill="1" applyBorder="1" applyAlignment="1">
      <alignment horizontal="center" vertical="center" wrapText="1" shrinkToFit="1"/>
    </xf>
    <xf numFmtId="166" fontId="1" fillId="7" borderId="1" xfId="0" applyNumberFormat="1" applyFont="1" applyFill="1" applyBorder="1" applyAlignment="1">
      <alignment horizontal="center" vertical="center" wrapText="1" shrinkToFit="1"/>
    </xf>
    <xf numFmtId="164" fontId="1" fillId="8" borderId="1" xfId="0" applyNumberFormat="1" applyFont="1" applyFill="1" applyBorder="1" applyAlignment="1">
      <alignment horizontal="center" vertical="center" wrapText="1" shrinkToFit="1"/>
    </xf>
    <xf numFmtId="0" fontId="1" fillId="8" borderId="1" xfId="0" applyFont="1" applyFill="1" applyBorder="1" applyAlignment="1">
      <alignment horizontal="center" vertical="center" wrapText="1" shrinkToFit="1"/>
    </xf>
    <xf numFmtId="164" fontId="1" fillId="9" borderId="1" xfId="0" applyNumberFormat="1" applyFont="1" applyFill="1" applyBorder="1" applyAlignment="1">
      <alignment horizontal="center" vertical="center" wrapText="1" shrinkToFit="1"/>
    </xf>
    <xf numFmtId="0" fontId="1" fillId="9" borderId="1" xfId="0" applyFont="1" applyFill="1" applyBorder="1" applyAlignment="1">
      <alignment horizontal="center" vertical="center" wrapText="1" shrinkToFit="1"/>
    </xf>
    <xf numFmtId="0" fontId="1" fillId="3" borderId="1" xfId="0" applyFont="1" applyFill="1" applyBorder="1" applyAlignment="1">
      <alignment horizontal="center" vertical="center" wrapText="1" shrinkToFit="1"/>
    </xf>
    <xf numFmtId="166" fontId="1" fillId="0" borderId="1" xfId="0" applyNumberFormat="1" applyFont="1" applyBorder="1" applyAlignment="1">
      <alignment horizontal="center" vertical="center" wrapText="1" shrinkToFit="1"/>
    </xf>
    <xf numFmtId="3" fontId="1" fillId="0" borderId="1" xfId="0" applyNumberFormat="1" applyFont="1" applyBorder="1" applyAlignment="1">
      <alignment horizontal="center" vertical="center"/>
    </xf>
    <xf numFmtId="0" fontId="1" fillId="3" borderId="1" xfId="0" applyFont="1" applyFill="1" applyBorder="1" applyAlignment="1">
      <alignment horizontal="center" vertical="center" wrapText="1"/>
    </xf>
    <xf numFmtId="0" fontId="1" fillId="3" borderId="1" xfId="0" applyFont="1" applyFill="1" applyBorder="1" applyAlignment="1">
      <alignment horizontal="left" vertical="center" wrapText="1"/>
    </xf>
    <xf numFmtId="3" fontId="1" fillId="3" borderId="1" xfId="0" applyNumberFormat="1" applyFont="1" applyFill="1" applyBorder="1" applyAlignment="1">
      <alignment horizontal="center" vertical="center"/>
    </xf>
    <xf numFmtId="16" fontId="1" fillId="8" borderId="1" xfId="0" applyNumberFormat="1" applyFont="1" applyFill="1" applyBorder="1" applyAlignment="1">
      <alignment horizontal="center" vertical="center" wrapText="1" shrinkToFit="1"/>
    </xf>
    <xf numFmtId="3" fontId="1" fillId="0" borderId="1" xfId="0" applyNumberFormat="1" applyFont="1" applyBorder="1" applyAlignment="1">
      <alignment horizontal="center" vertical="center" wrapText="1" shrinkToFit="1"/>
    </xf>
    <xf numFmtId="3" fontId="1" fillId="3" borderId="1" xfId="0" applyNumberFormat="1" applyFont="1" applyFill="1" applyBorder="1" applyAlignment="1">
      <alignment horizontal="center" vertical="center" wrapText="1" shrinkToFit="1"/>
    </xf>
    <xf numFmtId="164" fontId="1" fillId="7" borderId="1" xfId="0" applyNumberFormat="1" applyFont="1" applyFill="1" applyBorder="1" applyAlignment="1">
      <alignment horizontal="center" vertical="center" wrapText="1" shrinkToFit="1"/>
    </xf>
    <xf numFmtId="164" fontId="1" fillId="3" borderId="1" xfId="0" applyNumberFormat="1" applyFont="1" applyFill="1" applyBorder="1" applyAlignment="1">
      <alignment horizontal="center" vertical="center" wrapText="1" shrinkToFit="1"/>
    </xf>
    <xf numFmtId="3" fontId="1" fillId="0" borderId="1" xfId="0" applyNumberFormat="1" applyFont="1" applyBorder="1" applyAlignment="1">
      <alignment horizontal="center" vertical="center" wrapText="1"/>
    </xf>
    <xf numFmtId="0" fontId="1" fillId="12" borderId="1" xfId="0" applyFont="1" applyFill="1" applyBorder="1" applyAlignment="1">
      <alignment horizontal="center" vertical="center" wrapText="1"/>
    </xf>
    <xf numFmtId="3" fontId="1" fillId="0" borderId="1" xfId="2" applyNumberFormat="1" applyFont="1" applyFill="1" applyBorder="1" applyAlignment="1">
      <alignment horizontal="center" vertical="center" wrapText="1"/>
    </xf>
    <xf numFmtId="0" fontId="1" fillId="0" borderId="1" xfId="0" applyFont="1" applyBorder="1" applyAlignment="1">
      <alignment horizontal="center" vertical="center" wrapText="1"/>
    </xf>
    <xf numFmtId="3" fontId="1" fillId="3"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168" fontId="1" fillId="0" borderId="0" xfId="0" applyNumberFormat="1" applyFont="1"/>
    <xf numFmtId="169" fontId="1" fillId="3" borderId="1" xfId="0" applyNumberFormat="1" applyFont="1" applyFill="1" applyBorder="1" applyAlignment="1">
      <alignment horizontal="center" vertical="center" wrapText="1" shrinkToFit="1"/>
    </xf>
    <xf numFmtId="168" fontId="1" fillId="12" borderId="1" xfId="0" applyNumberFormat="1" applyFont="1" applyFill="1" applyBorder="1" applyAlignment="1">
      <alignment horizontal="center" vertical="center" wrapText="1" shrinkToFit="1"/>
    </xf>
    <xf numFmtId="168" fontId="1" fillId="3" borderId="1" xfId="0" applyNumberFormat="1" applyFont="1" applyFill="1" applyBorder="1" applyAlignment="1">
      <alignment horizontal="left" vertical="center" wrapText="1" shrinkToFit="1"/>
    </xf>
    <xf numFmtId="168" fontId="1" fillId="3" borderId="1" xfId="0" applyNumberFormat="1" applyFont="1" applyFill="1" applyBorder="1" applyAlignment="1">
      <alignment horizontal="center" vertical="center" wrapText="1" shrinkToFit="1"/>
    </xf>
    <xf numFmtId="1" fontId="1" fillId="3" borderId="1" xfId="0" applyNumberFormat="1" applyFont="1" applyFill="1" applyBorder="1" applyAlignment="1">
      <alignment horizontal="center" vertical="center" wrapText="1" shrinkToFit="1"/>
    </xf>
    <xf numFmtId="168" fontId="1" fillId="8" borderId="1" xfId="0" applyNumberFormat="1" applyFont="1" applyFill="1" applyBorder="1" applyAlignment="1">
      <alignment horizontal="center" vertical="center" wrapText="1" shrinkToFit="1"/>
    </xf>
    <xf numFmtId="166" fontId="1" fillId="8" borderId="1" xfId="0" applyNumberFormat="1" applyFont="1" applyFill="1" applyBorder="1" applyAlignment="1">
      <alignment horizontal="center" vertical="center" wrapText="1" shrinkToFit="1"/>
    </xf>
    <xf numFmtId="168" fontId="1" fillId="9" borderId="1" xfId="0" applyNumberFormat="1" applyFont="1" applyFill="1" applyBorder="1" applyAlignment="1">
      <alignment horizontal="center" vertical="center" wrapText="1" shrinkToFit="1"/>
    </xf>
    <xf numFmtId="166" fontId="1" fillId="9" borderId="1" xfId="0" applyNumberFormat="1" applyFont="1" applyFill="1" applyBorder="1" applyAlignment="1">
      <alignment horizontal="center" vertical="center" wrapText="1" shrinkToFit="1"/>
    </xf>
    <xf numFmtId="166" fontId="1" fillId="15" borderId="1" xfId="0" applyNumberFormat="1" applyFont="1" applyFill="1" applyBorder="1" applyAlignment="1">
      <alignment horizontal="center" vertical="center" wrapText="1" shrinkToFit="1"/>
    </xf>
    <xf numFmtId="168" fontId="1" fillId="0" borderId="1" xfId="0" applyNumberFormat="1" applyFont="1" applyBorder="1" applyAlignment="1">
      <alignment horizontal="center" vertical="center" wrapText="1" shrinkToFit="1"/>
    </xf>
    <xf numFmtId="168" fontId="1" fillId="0" borderId="1" xfId="0" applyNumberFormat="1" applyFont="1" applyBorder="1" applyAlignment="1">
      <alignment horizontal="center" vertical="center"/>
    </xf>
    <xf numFmtId="166" fontId="1" fillId="0" borderId="1" xfId="0" applyNumberFormat="1" applyFont="1" applyBorder="1" applyAlignment="1">
      <alignment horizontal="center" vertical="center"/>
    </xf>
    <xf numFmtId="168" fontId="1" fillId="3" borderId="1" xfId="0" applyNumberFormat="1" applyFont="1" applyFill="1" applyBorder="1" applyAlignment="1">
      <alignment horizontal="left" vertical="center" wrapText="1"/>
    </xf>
    <xf numFmtId="169" fontId="1" fillId="0" borderId="0" xfId="0" applyNumberFormat="1" applyFont="1"/>
    <xf numFmtId="3" fontId="1" fillId="0" borderId="0" xfId="0" applyNumberFormat="1" applyFont="1"/>
    <xf numFmtId="1" fontId="1" fillId="0" borderId="0" xfId="0" applyNumberFormat="1" applyFont="1"/>
    <xf numFmtId="166" fontId="1" fillId="0" borderId="0" xfId="0" applyNumberFormat="1" applyFont="1"/>
    <xf numFmtId="169" fontId="1" fillId="0" borderId="1" xfId="0" applyNumberFormat="1" applyFont="1" applyBorder="1" applyAlignment="1">
      <alignment horizontal="center" vertical="center" wrapText="1" shrinkToFit="1"/>
    </xf>
    <xf numFmtId="168" fontId="1" fillId="0" borderId="1" xfId="0" applyNumberFormat="1" applyFont="1" applyBorder="1" applyAlignment="1">
      <alignment horizontal="left" vertical="center" wrapText="1" shrinkToFit="1"/>
    </xf>
    <xf numFmtId="168" fontId="1" fillId="0" borderId="1" xfId="0" applyNumberFormat="1" applyFont="1" applyBorder="1" applyAlignment="1">
      <alignment horizontal="left" vertical="center" wrapText="1"/>
    </xf>
    <xf numFmtId="1" fontId="1" fillId="0" borderId="1" xfId="0" applyNumberFormat="1" applyFont="1" applyBorder="1" applyAlignment="1">
      <alignment horizontal="center" vertical="center" wrapText="1" shrinkToFit="1"/>
    </xf>
    <xf numFmtId="169" fontId="1" fillId="3" borderId="1" xfId="0" applyNumberFormat="1" applyFont="1" applyFill="1" applyBorder="1" applyAlignment="1">
      <alignment horizontal="center" vertical="center" wrapText="1"/>
    </xf>
    <xf numFmtId="168" fontId="1" fillId="12" borderId="1" xfId="0"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xf>
    <xf numFmtId="169" fontId="1" fillId="0" borderId="1" xfId="0" applyNumberFormat="1" applyFont="1" applyBorder="1" applyAlignment="1">
      <alignment horizontal="center" vertical="center" wrapText="1"/>
    </xf>
    <xf numFmtId="169" fontId="1" fillId="3" borderId="1" xfId="1" applyNumberFormat="1" applyFont="1" applyFill="1" applyBorder="1" applyAlignment="1">
      <alignment horizontal="center" vertical="center" wrapText="1"/>
    </xf>
    <xf numFmtId="168" fontId="1" fillId="12" borderId="1" xfId="1" applyNumberFormat="1" applyFont="1" applyFill="1" applyBorder="1" applyAlignment="1">
      <alignment horizontal="center" vertical="center" wrapText="1"/>
    </xf>
    <xf numFmtId="168" fontId="1" fillId="0" borderId="1" xfId="1" applyNumberFormat="1" applyFont="1" applyFill="1" applyBorder="1" applyAlignment="1">
      <alignment horizontal="left" vertical="center" wrapText="1"/>
    </xf>
    <xf numFmtId="168" fontId="1" fillId="3" borderId="1" xfId="1" applyNumberFormat="1" applyFont="1" applyFill="1" applyBorder="1" applyAlignment="1">
      <alignment horizontal="left" vertical="center" wrapText="1"/>
    </xf>
    <xf numFmtId="3" fontId="1" fillId="3" borderId="1" xfId="1" applyNumberFormat="1" applyFont="1" applyFill="1" applyBorder="1" applyAlignment="1">
      <alignment horizontal="center" vertical="center" wrapText="1"/>
    </xf>
    <xf numFmtId="168" fontId="1" fillId="3" borderId="1" xfId="1" applyNumberFormat="1" applyFont="1" applyFill="1" applyBorder="1" applyAlignment="1">
      <alignment horizontal="center" vertical="center" wrapText="1"/>
    </xf>
    <xf numFmtId="168" fontId="1" fillId="3" borderId="1" xfId="1" applyNumberFormat="1" applyFont="1" applyFill="1" applyBorder="1" applyAlignment="1">
      <alignment horizontal="center" vertical="center"/>
    </xf>
    <xf numFmtId="168" fontId="1" fillId="0" borderId="1" xfId="0" applyNumberFormat="1" applyFont="1" applyBorder="1" applyAlignment="1">
      <alignment horizontal="center" vertical="center" wrapText="1"/>
    </xf>
    <xf numFmtId="168" fontId="1" fillId="0" borderId="1" xfId="0" applyNumberFormat="1" applyFont="1" applyBorder="1" applyAlignment="1">
      <alignment horizontal="left" vertical="center"/>
    </xf>
    <xf numFmtId="169" fontId="1" fillId="0" borderId="1" xfId="2" applyNumberFormat="1" applyFont="1" applyFill="1" applyBorder="1" applyAlignment="1">
      <alignment horizontal="center" vertical="center" wrapText="1"/>
    </xf>
    <xf numFmtId="168" fontId="1" fillId="12" borderId="1" xfId="2" applyNumberFormat="1" applyFont="1" applyFill="1" applyBorder="1" applyAlignment="1">
      <alignment horizontal="center" vertical="center" wrapText="1"/>
    </xf>
    <xf numFmtId="168" fontId="1" fillId="0" borderId="1" xfId="2" applyNumberFormat="1" applyFont="1" applyFill="1" applyBorder="1" applyAlignment="1">
      <alignment horizontal="left" vertical="center" wrapText="1"/>
    </xf>
    <xf numFmtId="168" fontId="1" fillId="0" borderId="1" xfId="2" applyNumberFormat="1" applyFont="1" applyFill="1" applyBorder="1" applyAlignment="1">
      <alignment horizontal="center" vertical="center" wrapText="1"/>
    </xf>
    <xf numFmtId="168" fontId="1" fillId="0" borderId="1" xfId="2" applyNumberFormat="1" applyFont="1" applyFill="1" applyBorder="1" applyAlignment="1">
      <alignment horizontal="center" vertical="center"/>
    </xf>
    <xf numFmtId="168" fontId="1" fillId="3" borderId="1" xfId="0" applyNumberFormat="1" applyFont="1" applyFill="1" applyBorder="1" applyAlignment="1">
      <alignment horizontal="center" vertical="center" wrapText="1"/>
    </xf>
    <xf numFmtId="168" fontId="1" fillId="0" borderId="1" xfId="1" applyNumberFormat="1" applyFont="1" applyFill="1" applyBorder="1" applyAlignment="1">
      <alignment horizontal="center" vertical="center"/>
    </xf>
    <xf numFmtId="3" fontId="1" fillId="0" borderId="1" xfId="1" applyNumberFormat="1" applyFont="1" applyFill="1" applyBorder="1" applyAlignment="1">
      <alignment horizontal="center" vertical="center" wrapText="1"/>
    </xf>
    <xf numFmtId="0" fontId="1" fillId="12" borderId="1" xfId="0" applyFont="1" applyFill="1" applyBorder="1" applyAlignment="1">
      <alignment horizontal="center" vertical="center" wrapText="1" shrinkToFit="1"/>
    </xf>
    <xf numFmtId="0" fontId="1" fillId="0" borderId="1" xfId="0" applyFont="1" applyBorder="1" applyAlignment="1">
      <alignment horizontal="left" vertical="center" wrapText="1"/>
    </xf>
    <xf numFmtId="3" fontId="1" fillId="11" borderId="1" xfId="0" applyNumberFormat="1" applyFont="1" applyFill="1" applyBorder="1" applyAlignment="1">
      <alignment horizontal="center" vertical="center"/>
    </xf>
    <xf numFmtId="170" fontId="1" fillId="0" borderId="1" xfId="4" applyNumberFormat="1" applyFont="1" applyBorder="1" applyAlignment="1">
      <alignment horizontal="center" vertical="center" wrapText="1" shrinkToFit="1"/>
    </xf>
    <xf numFmtId="170" fontId="1" fillId="3" borderId="1" xfId="4" applyNumberFormat="1" applyFont="1" applyFill="1" applyBorder="1" applyAlignment="1">
      <alignment horizontal="center" vertical="center" wrapText="1" shrinkToFit="1"/>
    </xf>
    <xf numFmtId="164" fontId="1" fillId="11" borderId="1" xfId="0" applyNumberFormat="1" applyFont="1" applyFill="1" applyBorder="1" applyAlignment="1">
      <alignment horizontal="center" vertical="center" wrapText="1" shrinkToFit="1"/>
    </xf>
    <xf numFmtId="0" fontId="1" fillId="0" borderId="1" xfId="2" applyFont="1" applyFill="1" applyBorder="1" applyAlignment="1">
      <alignment horizontal="left" vertical="center" wrapText="1"/>
    </xf>
  </cellXfs>
  <cellStyles count="5">
    <cellStyle name="Comma" xfId="4" builtinId="3"/>
    <cellStyle name="Good" xfId="1" builtinId="26"/>
    <cellStyle name="Neutral" xfId="2" builtinId="28"/>
    <cellStyle name="Normal" xfId="0" builtinId="0"/>
    <cellStyle name="Percent" xfId="3" builtinId="5"/>
  </cellStyles>
  <dxfs count="41">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CCFF"/>
      <color rgb="FFD9D9D9"/>
      <color rgb="FF93D150"/>
      <color rgb="FFCCFFCC"/>
      <color rgb="FFCCFFFF"/>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998277619542682"/>
          <c:y val="0.19249264577176092"/>
          <c:w val="0.48300536672629696"/>
          <c:h val="0.70496083550913835"/>
        </c:manualLayout>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7FE8-444A-A194-ED505CCBBA9F}"/>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7FE8-444A-A194-ED505CCBBA9F}"/>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38D7-E440-918D-B9D81D2BA8CC}"/>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38D7-E440-918D-B9D81D2BA8CC}"/>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38D7-E440-918D-B9D81D2BA8CC}"/>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38D7-E440-918D-B9D81D2BA8CC}"/>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31BC-6845-9547-8DCEED7EA970}"/>
              </c:ext>
            </c:extLst>
          </c:dPt>
          <c:dLbls>
            <c:dLbl>
              <c:idx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E8-444A-A194-ED505CCBBA9F}"/>
                </c:ext>
              </c:extLst>
            </c:dLbl>
            <c:dLbl>
              <c:idx val="1"/>
              <c:spPr>
                <a:noFill/>
                <a:ln>
                  <a:noFill/>
                </a:ln>
                <a:effectLst/>
              </c:spPr>
              <c:txPr>
                <a:bodyPr rot="0" spcFirstLastPara="1" vertOverflow="ellipsis" vert="horz" wrap="square" anchor="ctr" anchorCtr="1"/>
                <a:lstStyle/>
                <a:p>
                  <a:pPr>
                    <a:defRPr sz="1100" b="1" i="0" u="none" strike="noStrike" kern="1200" spc="0" baseline="0">
                      <a:solidFill>
                        <a:schemeClr val="accent2"/>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E8-444A-A194-ED505CCBBA9F}"/>
                </c:ext>
              </c:extLst>
            </c:dLbl>
            <c:dLbl>
              <c:idx val="2"/>
              <c:layout>
                <c:manualLayout>
                  <c:x val="-4.486196048125933E-2"/>
                  <c:y val="7.8768229366468212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3"/>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22947458881970745"/>
                      <c:h val="0.1511766535470512"/>
                    </c:manualLayout>
                  </c15:layout>
                </c:ext>
                <c:ext xmlns:c16="http://schemas.microsoft.com/office/drawing/2014/chart" uri="{C3380CC4-5D6E-409C-BE32-E72D297353CC}">
                  <c16:uniqueId val="{00000006-38D7-E440-918D-B9D81D2BA8CC}"/>
                </c:ext>
              </c:extLst>
            </c:dLbl>
            <c:dLbl>
              <c:idx val="3"/>
              <c:layout>
                <c:manualLayout>
                  <c:x val="-8.5122694246492062E-2"/>
                  <c:y val="-3.5008101940652535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4"/>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2-38D7-E440-918D-B9D81D2BA8CC}"/>
                </c:ext>
              </c:extLst>
            </c:dLbl>
            <c:dLbl>
              <c:idx val="4"/>
              <c:layout>
                <c:manualLayout>
                  <c:x val="-2.8757576399837184E-2"/>
                  <c:y val="-0.10924457385905517"/>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5"/>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20038342348295834"/>
                      <c:h val="0.12629172775090403"/>
                    </c:manualLayout>
                  </c15:layout>
                </c:ext>
                <c:ext xmlns:c16="http://schemas.microsoft.com/office/drawing/2014/chart" uri="{C3380CC4-5D6E-409C-BE32-E72D297353CC}">
                  <c16:uniqueId val="{00000005-38D7-E440-918D-B9D81D2BA8CC}"/>
                </c:ext>
              </c:extLst>
            </c:dLbl>
            <c:dLbl>
              <c:idx val="5"/>
              <c:layout>
                <c:manualLayout>
                  <c:x val="0.14723925491285114"/>
                  <c:y val="-7.001620388130507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6"/>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38D7-E440-918D-B9D81D2BA8CC}"/>
                </c:ext>
              </c:extLst>
            </c:dLbl>
            <c:dLbl>
              <c:idx val="6"/>
              <c:spPr>
                <a:noFill/>
                <a:ln>
                  <a:noFill/>
                </a:ln>
                <a:effectLst/>
              </c:spPr>
              <c:txPr>
                <a:bodyPr rot="0" spcFirstLastPara="1" vertOverflow="ellipsis" vert="horz" wrap="square" anchor="ctr" anchorCtr="1"/>
                <a:lstStyle/>
                <a:p>
                  <a:pPr>
                    <a:defRPr sz="1100" b="1" i="0" u="none" strike="noStrike" kern="1200" spc="0" baseline="0">
                      <a:solidFill>
                        <a:schemeClr val="accent1">
                          <a:lumMod val="60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1BC-6845-9547-8DCEED7EA970}"/>
                </c:ext>
              </c:extLst>
            </c:dLbl>
            <c:spPr>
              <a:noFill/>
              <a:ln>
                <a:noFill/>
              </a:ln>
              <a:effectLst/>
            </c:spPr>
            <c:dLblPos val="outEnd"/>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 tables'!$O$3:$O$8,'Summary tables'!$O$10)</c:f>
              <c:strCache>
                <c:ptCount val="7"/>
                <c:pt idx="0">
                  <c:v>cables (SCAs, MCAs, BCAs, SJBs)</c:v>
                </c:pt>
                <c:pt idx="1">
                  <c:v>mDOMs + D-Eggs</c:v>
                </c:pt>
                <c:pt idx="2">
                  <c:v>calibration + special
+ logging devices</c:v>
                </c:pt>
                <c:pt idx="3">
                  <c:v>DOM Handling Facility</c:v>
                </c:pt>
                <c:pt idx="4">
                  <c:v>hardware (rigging and weights)</c:v>
                </c:pt>
                <c:pt idx="5">
                  <c:v>ICL + science</c:v>
                </c:pt>
                <c:pt idx="6">
                  <c:v>drill equipment</c:v>
                </c:pt>
              </c:strCache>
            </c:strRef>
          </c:cat>
          <c:val>
            <c:numRef>
              <c:f>('Summary tables'!$R$3:$R$8,'Summary tables'!$R$10)</c:f>
              <c:numCache>
                <c:formatCode>#,##0</c:formatCode>
                <c:ptCount val="7"/>
                <c:pt idx="0">
                  <c:v>128112</c:v>
                </c:pt>
                <c:pt idx="1">
                  <c:v>58149</c:v>
                </c:pt>
                <c:pt idx="2">
                  <c:v>14878</c:v>
                </c:pt>
                <c:pt idx="3">
                  <c:v>12000</c:v>
                </c:pt>
                <c:pt idx="4">
                  <c:v>12500</c:v>
                </c:pt>
                <c:pt idx="5">
                  <c:v>5075</c:v>
                </c:pt>
                <c:pt idx="6">
                  <c:v>286078</c:v>
                </c:pt>
              </c:numCache>
            </c:numRef>
          </c:val>
          <c:extLst>
            <c:ext xmlns:c16="http://schemas.microsoft.com/office/drawing/2014/chart" uri="{C3380CC4-5D6E-409C-BE32-E72D297353CC}">
              <c16:uniqueId val="{00000000-38D7-E440-918D-B9D81D2BA8CC}"/>
            </c:ext>
          </c:extLst>
        </c:ser>
        <c:dLbls>
          <c:dLblPos val="outEnd"/>
          <c:showLegendKey val="0"/>
          <c:showVal val="0"/>
          <c:showCatName val="0"/>
          <c:showSerName val="0"/>
          <c:showPercent val="1"/>
          <c:showBubbleSize val="0"/>
          <c:showLeaderLines val="1"/>
        </c:dLbls>
        <c:firstSliceAng val="18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r>
              <a:rPr lang="en-US"/>
              <a:t>Cargo</a:t>
            </a:r>
            <a:r>
              <a:rPr lang="en-US" baseline="0"/>
              <a:t> distribution </a:t>
            </a:r>
            <a:br>
              <a:rPr lang="en-US" baseline="0"/>
            </a:br>
            <a:r>
              <a:rPr lang="en-US" baseline="0"/>
              <a:t>by point of departure [weight based]</a:t>
            </a:r>
            <a:endParaRPr lang="en-US"/>
          </a:p>
        </c:rich>
      </c:tx>
      <c:layout>
        <c:manualLayout>
          <c:xMode val="edge"/>
          <c:yMode val="edge"/>
          <c:x val="0.44046376092752187"/>
          <c:y val="5.0055650938369535E-2"/>
        </c:manualLayout>
      </c:layout>
      <c:overlay val="0"/>
      <c:spPr>
        <a:noFill/>
        <a:ln>
          <a:noFill/>
        </a:ln>
        <a:effectLst/>
      </c:spPr>
      <c:txPr>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6079-4678-A27C-E65EF405D9E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079-4678-A27C-E65EF405D9E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079-4678-A27C-E65EF405D9E3}"/>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079-4678-A27C-E65EF405D9E3}"/>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F916-094C-935F-9544CE304847}"/>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916-094C-935F-9544CE304847}"/>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F916-094C-935F-9544CE304847}"/>
              </c:ext>
            </c:extLst>
          </c:dPt>
          <c:dLbls>
            <c:dLbl>
              <c:idx val="4"/>
              <c:layout>
                <c:manualLayout>
                  <c:x val="-7.3557961504811933E-2"/>
                  <c:y val="2.88276465441819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F916-094C-935F-9544CE304847}"/>
                </c:ext>
              </c:extLst>
            </c:dLbl>
            <c:dLbl>
              <c:idx val="5"/>
              <c:layout>
                <c:manualLayout>
                  <c:x val="-2.2585301837270595E-3"/>
                  <c:y val="-2.645851560221642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916-094C-935F-9544CE304847}"/>
                </c:ext>
              </c:extLst>
            </c:dLbl>
            <c:dLbl>
              <c:idx val="6"/>
              <c:layout>
                <c:manualLayout>
                  <c:x val="6.015748031496012E-3"/>
                  <c:y val="-1.209062408865560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F916-094C-935F-9544CE304847}"/>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numRef>
              <c:f>'Summary tables'!$B$81:$B$87</c:f>
              <c:numCache>
                <c:formatCode>General</c:formatCode>
                <c:ptCount val="7"/>
                <c:pt idx="0">
                  <c:v>0</c:v>
                </c:pt>
              </c:numCache>
            </c:numRef>
          </c:cat>
          <c:val>
            <c:numRef>
              <c:f>'Summary tables'!$C$81:$C$87</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F916-094C-935F-9544CE304847}"/>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r>
              <a:rPr lang="en-US"/>
              <a:t>Cargo distribution by Point of Origin and Point of Departure [weight based]</a:t>
            </a:r>
          </a:p>
        </c:rich>
      </c:tx>
      <c:layout>
        <c:manualLayout>
          <c:xMode val="edge"/>
          <c:yMode val="edge"/>
          <c:x val="0.15653342811315252"/>
          <c:y val="5.4794520547945202E-2"/>
        </c:manualLayout>
      </c:layout>
      <c:overlay val="0"/>
      <c:spPr>
        <a:noFill/>
        <a:ln>
          <a:noFill/>
        </a:ln>
        <a:effectLst/>
      </c:spPr>
      <c:txPr>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5.6652672287645457E-2"/>
          <c:y val="0.23150684931506849"/>
          <c:w val="0.41891592920353982"/>
          <c:h val="0.74109589041095891"/>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61D6-6244-9292-08221090138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6-61D6-6244-9292-08221090138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2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 tables'!$E$81:$E$82</c:f>
              <c:strCache>
                <c:ptCount val="2"/>
                <c:pt idx="0">
                  <c:v>Point of Origin same as Point of Departure</c:v>
                </c:pt>
                <c:pt idx="1">
                  <c:v>Point of Origin different from Point of Departure</c:v>
                </c:pt>
              </c:strCache>
            </c:strRef>
          </c:cat>
          <c:val>
            <c:numRef>
              <c:f>'Summary tables'!$G$81:$G$82</c:f>
              <c:numCache>
                <c:formatCode>#,##0</c:formatCode>
                <c:ptCount val="2"/>
                <c:pt idx="0">
                  <c:v>511849</c:v>
                </c:pt>
                <c:pt idx="1">
                  <c:v>4943</c:v>
                </c:pt>
              </c:numCache>
            </c:numRef>
          </c:val>
          <c:extLst>
            <c:ext xmlns:c16="http://schemas.microsoft.com/office/drawing/2014/chart" uri="{C3380CC4-5D6E-409C-BE32-E72D297353CC}">
              <c16:uniqueId val="{00000007-61D6-6244-9292-08221090138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48797331196432303"/>
          <c:y val="0.44942447262585328"/>
          <c:w val="0.38995607319918346"/>
          <c:h val="0.273949181009908"/>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r>
              <a:rPr lang="en-US"/>
              <a:t>Cargo (total)  distribution by BoE</a:t>
            </a:r>
          </a:p>
        </c:rich>
      </c:tx>
      <c:layout>
        <c:manualLayout>
          <c:xMode val="edge"/>
          <c:yMode val="edge"/>
          <c:x val="0.267742964421114"/>
          <c:y val="4.3052837573385516E-2"/>
        </c:manualLayout>
      </c:layout>
      <c:overlay val="0"/>
      <c:spPr>
        <a:noFill/>
        <a:ln>
          <a:noFill/>
        </a:ln>
        <a:effectLst/>
      </c:spPr>
      <c:txPr>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5.6652672287645457E-2"/>
          <c:y val="0.23150684931506849"/>
          <c:w val="0.41891592920353982"/>
          <c:h val="0.74109589041095891"/>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6-08BB-7746-8208-7825CBD3A2D6}"/>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8-08BB-7746-8208-7825CBD3A2D6}"/>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B37-4742-94B7-8E229CDABC9F}"/>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 tables'!$B$108:$B$110</c:f>
              <c:strCache>
                <c:ptCount val="3"/>
                <c:pt idx="0">
                  <c:v>actual</c:v>
                </c:pt>
                <c:pt idx="1">
                  <c:v>estimated</c:v>
                </c:pt>
                <c:pt idx="2">
                  <c:v>preliminary</c:v>
                </c:pt>
              </c:strCache>
            </c:strRef>
          </c:cat>
          <c:val>
            <c:numRef>
              <c:f>'Summary tables'!$D$108:$D$110</c:f>
              <c:numCache>
                <c:formatCode>#,##0</c:formatCode>
                <c:ptCount val="3"/>
                <c:pt idx="0">
                  <c:v>306077</c:v>
                </c:pt>
                <c:pt idx="1">
                  <c:v>89770</c:v>
                </c:pt>
                <c:pt idx="2">
                  <c:v>120945</c:v>
                </c:pt>
              </c:numCache>
            </c:numRef>
          </c:val>
          <c:extLst>
            <c:ext xmlns:c16="http://schemas.microsoft.com/office/drawing/2014/chart" uri="{C3380CC4-5D6E-409C-BE32-E72D297353CC}">
              <c16:uniqueId val="{00000009-08BB-7746-8208-7825CBD3A2D6}"/>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48797331196432303"/>
          <c:y val="0.44942447262585328"/>
          <c:w val="0.49875235175249111"/>
          <c:h val="0.273949181009908"/>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r>
              <a:rPr lang="en-US"/>
              <a:t>Installation related cargo weight distribution by BoE</a:t>
            </a:r>
          </a:p>
        </c:rich>
      </c:tx>
      <c:overlay val="0"/>
      <c:spPr>
        <a:noFill/>
        <a:ln>
          <a:noFill/>
        </a:ln>
        <a:effectLst/>
      </c:spPr>
      <c:txPr>
        <a:bodyPr rot="0" spcFirstLastPara="1" vertOverflow="ellipsis" vert="horz" wrap="square" anchor="ctr" anchorCtr="1"/>
        <a:lstStyle/>
        <a:p>
          <a:pPr>
            <a:defRPr sz="144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5.6652672287645457E-2"/>
          <c:y val="0.23150684931506849"/>
          <c:w val="0.41891592920353982"/>
          <c:h val="0.74109589041095891"/>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B0DB-664B-AA53-88F98408F7EB}"/>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B0DB-664B-AA53-88F98408F7EB}"/>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B0DB-664B-AA53-88F98408F7EB}"/>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 tables'!$B$122:$B$124</c:f>
              <c:strCache>
                <c:ptCount val="3"/>
                <c:pt idx="0">
                  <c:v>actual</c:v>
                </c:pt>
                <c:pt idx="1">
                  <c:v>estimated</c:v>
                </c:pt>
                <c:pt idx="2">
                  <c:v>preliminary</c:v>
                </c:pt>
              </c:strCache>
            </c:strRef>
          </c:cat>
          <c:val>
            <c:numRef>
              <c:f>'Summary tables'!$D$122:$D$124</c:f>
              <c:numCache>
                <c:formatCode>#,##0</c:formatCode>
                <c:ptCount val="3"/>
                <c:pt idx="0">
                  <c:v>67799</c:v>
                </c:pt>
                <c:pt idx="1">
                  <c:v>41970</c:v>
                </c:pt>
                <c:pt idx="2">
                  <c:v>120945</c:v>
                </c:pt>
              </c:numCache>
            </c:numRef>
          </c:val>
          <c:extLst>
            <c:ext xmlns:c16="http://schemas.microsoft.com/office/drawing/2014/chart" uri="{C3380CC4-5D6E-409C-BE32-E72D297353CC}">
              <c16:uniqueId val="{00000006-B0DB-664B-AA53-88F98408F7EB}"/>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48797331196432303"/>
          <c:y val="0.44942447262585328"/>
          <c:w val="0.49875235175249111"/>
          <c:h val="0.273949181009908"/>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3998277619542682"/>
          <c:y val="0.19249264577176092"/>
          <c:w val="0.48300536672629696"/>
          <c:h val="0.70496083550913835"/>
        </c:manualLayout>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7FE8-444A-A194-ED505CCBBA9F}"/>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7FE8-444A-A194-ED505CCBBA9F}"/>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38D7-E440-918D-B9D81D2BA8CC}"/>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38D7-E440-918D-B9D81D2BA8CC}"/>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38D7-E440-918D-B9D81D2BA8CC}"/>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38D7-E440-918D-B9D81D2BA8CC}"/>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31BC-6845-9547-8DCEED7EA970}"/>
              </c:ext>
            </c:extLst>
          </c:dPt>
          <c:dLbls>
            <c:dLbl>
              <c:idx val="0"/>
              <c:layout>
                <c:manualLayout>
                  <c:x val="9.8926374394571859E-2"/>
                  <c:y val="3.7443992767934225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E8-444A-A194-ED505CCBBA9F}"/>
                </c:ext>
              </c:extLst>
            </c:dLbl>
            <c:dLbl>
              <c:idx val="1"/>
              <c:spPr>
                <a:noFill/>
                <a:ln>
                  <a:noFill/>
                </a:ln>
                <a:effectLst/>
              </c:spPr>
              <c:txPr>
                <a:bodyPr rot="0" spcFirstLastPara="1" vertOverflow="ellipsis" vert="horz" wrap="square" anchor="ctr" anchorCtr="1"/>
                <a:lstStyle/>
                <a:p>
                  <a:pPr>
                    <a:defRPr sz="1100" b="1" i="0" u="none" strike="noStrike" kern="1200" spc="0" baseline="0">
                      <a:solidFill>
                        <a:schemeClr val="accent2"/>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E8-444A-A194-ED505CCBBA9F}"/>
                </c:ext>
              </c:extLst>
            </c:dLbl>
            <c:dLbl>
              <c:idx val="2"/>
              <c:layout>
                <c:manualLayout>
                  <c:x val="-4.486196048125933E-2"/>
                  <c:y val="7.8768229366468212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3"/>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22947458881970745"/>
                      <c:h val="0.1511766535470512"/>
                    </c:manualLayout>
                  </c15:layout>
                </c:ext>
                <c:ext xmlns:c16="http://schemas.microsoft.com/office/drawing/2014/chart" uri="{C3380CC4-5D6E-409C-BE32-E72D297353CC}">
                  <c16:uniqueId val="{00000006-38D7-E440-918D-B9D81D2BA8CC}"/>
                </c:ext>
              </c:extLst>
            </c:dLbl>
            <c:dLbl>
              <c:idx val="3"/>
              <c:layout>
                <c:manualLayout>
                  <c:x val="-8.5122694246492062E-2"/>
                  <c:y val="-3.5008101940652535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4"/>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2-38D7-E440-918D-B9D81D2BA8CC}"/>
                </c:ext>
              </c:extLst>
            </c:dLbl>
            <c:dLbl>
              <c:idx val="4"/>
              <c:layout>
                <c:manualLayout>
                  <c:x val="-2.8757576399837184E-2"/>
                  <c:y val="-0.10924457385905517"/>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5"/>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20038342348295834"/>
                      <c:h val="0.12629172775090403"/>
                    </c:manualLayout>
                  </c15:layout>
                </c:ext>
                <c:ext xmlns:c16="http://schemas.microsoft.com/office/drawing/2014/chart" uri="{C3380CC4-5D6E-409C-BE32-E72D297353CC}">
                  <c16:uniqueId val="{00000005-38D7-E440-918D-B9D81D2BA8CC}"/>
                </c:ext>
              </c:extLst>
            </c:dLbl>
            <c:dLbl>
              <c:idx val="5"/>
              <c:layout>
                <c:manualLayout>
                  <c:x val="0.14723925491285114"/>
                  <c:y val="-7.001620388130507E-2"/>
                </c:manualLayout>
              </c:layout>
              <c:spPr>
                <a:noFill/>
                <a:ln>
                  <a:noFill/>
                </a:ln>
                <a:effectLst/>
              </c:spPr>
              <c:txPr>
                <a:bodyPr rot="0" spcFirstLastPara="1" vertOverflow="ellipsis" vert="horz" wrap="square" anchor="ctr" anchorCtr="1"/>
                <a:lstStyle/>
                <a:p>
                  <a:pPr>
                    <a:defRPr sz="1100" b="1" i="0" u="none" strike="noStrike" kern="1200" spc="0" baseline="0">
                      <a:solidFill>
                        <a:schemeClr val="accent6"/>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38D7-E440-918D-B9D81D2BA8CC}"/>
                </c:ext>
              </c:extLst>
            </c:dLbl>
            <c:dLbl>
              <c:idx val="6"/>
              <c:spPr>
                <a:noFill/>
                <a:ln>
                  <a:noFill/>
                </a:ln>
                <a:effectLst/>
              </c:spPr>
              <c:txPr>
                <a:bodyPr rot="0" spcFirstLastPara="1" vertOverflow="ellipsis" vert="horz" wrap="square" anchor="ctr" anchorCtr="1"/>
                <a:lstStyle/>
                <a:p>
                  <a:pPr>
                    <a:defRPr sz="1100" b="1" i="0" u="none" strike="noStrike" kern="1200" spc="0" baseline="0">
                      <a:solidFill>
                        <a:schemeClr val="accent1">
                          <a:lumMod val="60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1BC-6845-9547-8DCEED7EA970}"/>
                </c:ext>
              </c:extLst>
            </c:dLbl>
            <c:spPr>
              <a:noFill/>
              <a:ln>
                <a:noFill/>
              </a:ln>
              <a:effectLst/>
            </c:spPr>
            <c:dLblPos val="outEnd"/>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 tables'!$O$22:$O$27,'Summary tables'!$O$29)</c:f>
              <c:strCache>
                <c:ptCount val="7"/>
                <c:pt idx="0">
                  <c:v>Firn Drill</c:v>
                </c:pt>
                <c:pt idx="1">
                  <c:v>Rodwell Drill and System</c:v>
                </c:pt>
                <c:pt idx="2">
                  <c:v>Generators, HPU, fuel tower</c:v>
                </c:pt>
                <c:pt idx="3">
                  <c:v>Hose, drill heads and weight stack</c:v>
                </c:pt>
                <c:pt idx="4">
                  <c:v>Reels</c:v>
                </c:pt>
                <c:pt idx="5">
                  <c:v>Refit, spare cable, support equip.</c:v>
                </c:pt>
                <c:pt idx="6">
                  <c:v>Installation Equipment</c:v>
                </c:pt>
              </c:strCache>
            </c:strRef>
          </c:cat>
          <c:val>
            <c:numRef>
              <c:f>('Summary tables'!$R$22:$R$27,'Summary tables'!$R$29)</c:f>
              <c:numCache>
                <c:formatCode>#,##0</c:formatCode>
                <c:ptCount val="7"/>
                <c:pt idx="0">
                  <c:v>13968</c:v>
                </c:pt>
                <c:pt idx="1">
                  <c:v>7800</c:v>
                </c:pt>
                <c:pt idx="2">
                  <c:v>104595</c:v>
                </c:pt>
                <c:pt idx="3">
                  <c:v>60547</c:v>
                </c:pt>
                <c:pt idx="4">
                  <c:v>20300</c:v>
                </c:pt>
                <c:pt idx="5">
                  <c:v>78868</c:v>
                </c:pt>
                <c:pt idx="6">
                  <c:v>230714</c:v>
                </c:pt>
              </c:numCache>
            </c:numRef>
          </c:val>
          <c:extLst>
            <c:ext xmlns:c16="http://schemas.microsoft.com/office/drawing/2014/chart" uri="{C3380CC4-5D6E-409C-BE32-E72D297353CC}">
              <c16:uniqueId val="{00000000-38D7-E440-918D-B9D81D2BA8CC}"/>
            </c:ext>
          </c:extLst>
        </c:ser>
        <c:dLbls>
          <c:dLblPos val="outEnd"/>
          <c:showLegendKey val="0"/>
          <c:showVal val="0"/>
          <c:showCatName val="0"/>
          <c:showSerName val="0"/>
          <c:showPercent val="1"/>
          <c:showBubbleSize val="0"/>
          <c:showLeaderLines val="1"/>
        </c:dLbls>
        <c:firstSliceAng val="180"/>
      </c:pieChart>
      <c:spPr>
        <a:noFill/>
        <a:ln>
          <a:noFill/>
        </a:ln>
        <a:effectLst/>
      </c:spPr>
    </c:plotArea>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cap="all" baseline="0">
                <a:solidFill>
                  <a:schemeClr val="tx1">
                    <a:lumMod val="65000"/>
                    <a:lumOff val="35000"/>
                  </a:schemeClr>
                </a:solidFill>
                <a:latin typeface="+mn-lt"/>
                <a:ea typeface="+mn-ea"/>
                <a:cs typeface="+mn-cs"/>
              </a:defRPr>
            </a:pPr>
            <a:r>
              <a:rPr lang="en-US"/>
              <a:t>IceCube Upgrade cargo by WEIGHT</a:t>
            </a:r>
          </a:p>
        </c:rich>
      </c:tx>
      <c:layout>
        <c:manualLayout>
          <c:xMode val="edge"/>
          <c:yMode val="edge"/>
          <c:x val="0.39176758300837156"/>
          <c:y val="1.7638991783007624E-2"/>
        </c:manualLayout>
      </c:layout>
      <c:overlay val="0"/>
      <c:spPr>
        <a:noFill/>
        <a:ln>
          <a:noFill/>
        </a:ln>
        <a:effectLst/>
      </c:spPr>
      <c:txPr>
        <a:bodyPr rot="0" spcFirstLastPara="1" vertOverflow="ellipsis" vert="horz" wrap="square" anchor="ctr" anchorCtr="1"/>
        <a:lstStyle/>
        <a:p>
          <a:pPr>
            <a:defRPr sz="144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632E-3C48-BB55-F8B5D24B1BB1}"/>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632E-3C48-BB55-F8B5D24B1BB1}"/>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632E-3C48-BB55-F8B5D24B1BB1}"/>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632E-3C48-BB55-F8B5D24B1BB1}"/>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632E-3C48-BB55-F8B5D24B1BB1}"/>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632E-3C48-BB55-F8B5D24B1BB1}"/>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632E-3C48-BB55-F8B5D24B1BB1}"/>
              </c:ext>
            </c:extLst>
          </c:dPt>
          <c:dPt>
            <c:idx val="7"/>
            <c:bubble3D val="0"/>
            <c:spPr>
              <a:solidFill>
                <a:schemeClr val="accent2">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632E-3C48-BB55-F8B5D24B1BB1}"/>
              </c:ext>
            </c:extLst>
          </c:dPt>
          <c:dLbls>
            <c:dLbl>
              <c:idx val="0"/>
              <c:spPr>
                <a:noFill/>
                <a:ln>
                  <a:noFill/>
                </a:ln>
                <a:effectLst/>
              </c:spPr>
              <c:txPr>
                <a:bodyPr rot="0" spcFirstLastPara="1" vertOverflow="ellipsis" vert="horz" wrap="square" anchor="ctr" anchorCtr="1"/>
                <a:lstStyle/>
                <a:p>
                  <a:pPr>
                    <a:defRPr sz="1200" b="1" i="0" u="none" strike="noStrike" kern="1200" spc="0" baseline="0">
                      <a:solidFill>
                        <a:schemeClr val="accent1"/>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2-632E-3C48-BB55-F8B5D24B1BB1}"/>
                </c:ext>
              </c:extLst>
            </c:dLbl>
            <c:dLbl>
              <c:idx val="1"/>
              <c:spPr>
                <a:noFill/>
                <a:ln>
                  <a:noFill/>
                </a:ln>
                <a:effectLst/>
              </c:spPr>
              <c:txPr>
                <a:bodyPr rot="0" spcFirstLastPara="1" vertOverflow="ellipsis" vert="horz" wrap="square" anchor="ctr" anchorCtr="1"/>
                <a:lstStyle/>
                <a:p>
                  <a:pPr>
                    <a:defRPr sz="1200" b="1" i="0" u="none" strike="noStrike" kern="1200" spc="0" baseline="0">
                      <a:solidFill>
                        <a:schemeClr val="accent2"/>
                      </a:solidFill>
                      <a:latin typeface="+mn-lt"/>
                      <a:ea typeface="+mn-ea"/>
                      <a:cs typeface="+mn-cs"/>
                    </a:defRPr>
                  </a:pPr>
                  <a:endParaRPr lang="en-US"/>
                </a:p>
              </c:txPr>
              <c:dLblPos val="outEnd"/>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632E-3C48-BB55-F8B5D24B1BB1}"/>
                </c:ext>
              </c:extLst>
            </c:dLbl>
            <c:dLbl>
              <c:idx val="2"/>
              <c:layout>
                <c:manualLayout>
                  <c:x val="4.5212896197585548E-2"/>
                  <c:y val="-3.3346836075635308E-2"/>
                </c:manualLayout>
              </c:layout>
              <c:spPr>
                <a:noFill/>
                <a:ln>
                  <a:noFill/>
                </a:ln>
                <a:effectLst/>
              </c:spPr>
              <c:txPr>
                <a:bodyPr rot="0" spcFirstLastPara="1" vertOverflow="ellipsis" vert="horz" wrap="square" anchor="ctr" anchorCtr="1"/>
                <a:lstStyle/>
                <a:p>
                  <a:pPr>
                    <a:defRPr sz="1200" b="1" i="0" u="none" strike="noStrike" kern="1200" spc="0" baseline="0">
                      <a:solidFill>
                        <a:schemeClr val="accent3"/>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632E-3C48-BB55-F8B5D24B1BB1}"/>
                </c:ext>
              </c:extLst>
            </c:dLbl>
            <c:dLbl>
              <c:idx val="3"/>
              <c:layout>
                <c:manualLayout>
                  <c:x val="0.10182413706135401"/>
                  <c:y val="3.5277983566015247E-3"/>
                </c:manualLayout>
              </c:layout>
              <c:spPr>
                <a:noFill/>
                <a:ln>
                  <a:noFill/>
                </a:ln>
                <a:effectLst/>
              </c:spPr>
              <c:txPr>
                <a:bodyPr rot="0" spcFirstLastPara="1" vertOverflow="ellipsis" vert="horz" wrap="square" anchor="ctr" anchorCtr="1"/>
                <a:lstStyle/>
                <a:p>
                  <a:pPr>
                    <a:defRPr sz="1200" b="1" i="0" u="none" strike="noStrike" kern="1200" spc="0" baseline="0">
                      <a:solidFill>
                        <a:schemeClr val="accent4"/>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632E-3C48-BB55-F8B5D24B1BB1}"/>
                </c:ext>
              </c:extLst>
            </c:dLbl>
            <c:dLbl>
              <c:idx val="4"/>
              <c:layout>
                <c:manualLayout>
                  <c:x val="-0.14651431751020144"/>
                  <c:y val="1.4994591389629679E-2"/>
                </c:manualLayout>
              </c:layout>
              <c:spPr>
                <a:noFill/>
                <a:ln>
                  <a:noFill/>
                </a:ln>
                <a:effectLst/>
              </c:spPr>
              <c:txPr>
                <a:bodyPr rot="0" spcFirstLastPara="1" vertOverflow="overflow" horzOverflow="overflow" vert="horz" wrap="square" anchor="ctr" anchorCtr="1">
                  <a:noAutofit/>
                </a:bodyPr>
                <a:lstStyle/>
                <a:p>
                  <a:pPr>
                    <a:defRPr sz="1200" b="1" i="0" u="none" strike="noStrike" kern="1200" spc="0" baseline="0">
                      <a:solidFill>
                        <a:schemeClr val="accent5"/>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28553961682321405"/>
                      <c:h val="6.6464189933136728E-2"/>
                    </c:manualLayout>
                  </c15:layout>
                </c:ext>
                <c:ext xmlns:c16="http://schemas.microsoft.com/office/drawing/2014/chart" uri="{C3380CC4-5D6E-409C-BE32-E72D297353CC}">
                  <c16:uniqueId val="{00000006-632E-3C48-BB55-F8B5D24B1BB1}"/>
                </c:ext>
              </c:extLst>
            </c:dLbl>
            <c:dLbl>
              <c:idx val="5"/>
              <c:layout>
                <c:manualLayout>
                  <c:x val="5.513639658261818E-2"/>
                  <c:y val="-1.2983992273597859E-2"/>
                </c:manualLayout>
              </c:layout>
              <c:spPr>
                <a:noFill/>
                <a:ln>
                  <a:noFill/>
                </a:ln>
                <a:effectLst/>
              </c:spPr>
              <c:txPr>
                <a:bodyPr rot="0" spcFirstLastPara="1" vertOverflow="ellipsis" vert="horz" wrap="square" anchor="ctr" anchorCtr="1"/>
                <a:lstStyle/>
                <a:p>
                  <a:pPr>
                    <a:defRPr sz="1200" b="1" i="0" u="none" strike="noStrike" kern="1200" spc="0" baseline="0">
                      <a:solidFill>
                        <a:schemeClr val="accent6"/>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3126525489037098"/>
                      <c:h val="8.8059776146428959E-2"/>
                    </c:manualLayout>
                  </c15:layout>
                </c:ext>
                <c:ext xmlns:c16="http://schemas.microsoft.com/office/drawing/2014/chart" uri="{C3380CC4-5D6E-409C-BE32-E72D297353CC}">
                  <c16:uniqueId val="{00000007-632E-3C48-BB55-F8B5D24B1BB1}"/>
                </c:ext>
              </c:extLst>
            </c:dLbl>
            <c:dLbl>
              <c:idx val="6"/>
              <c:layout>
                <c:manualLayout>
                  <c:x val="7.2739498378109647E-3"/>
                  <c:y val="3.6353825945143713E-2"/>
                </c:manualLayout>
              </c:layout>
              <c:spPr>
                <a:noFill/>
                <a:ln>
                  <a:noFill/>
                </a:ln>
                <a:effectLst/>
              </c:spPr>
              <c:txPr>
                <a:bodyPr rot="0" spcFirstLastPara="1" vertOverflow="ellipsis" vert="horz" wrap="square" anchor="ctr" anchorCtr="1"/>
                <a:lstStyle/>
                <a:p>
                  <a:pPr>
                    <a:defRPr sz="1200" b="1" i="0" u="none" strike="noStrike" kern="1200" spc="0" baseline="0">
                      <a:solidFill>
                        <a:schemeClr val="accent1">
                          <a:lumMod val="60000"/>
                        </a:schemeClr>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24389656185718483"/>
                      <c:h val="0.20524460948246256"/>
                    </c:manualLayout>
                  </c15:layout>
                </c:ext>
                <c:ext xmlns:c16="http://schemas.microsoft.com/office/drawing/2014/chart" uri="{C3380CC4-5D6E-409C-BE32-E72D297353CC}">
                  <c16:uniqueId val="{00000008-632E-3C48-BB55-F8B5D24B1BB1}"/>
                </c:ext>
              </c:extLst>
            </c:dLbl>
            <c:dLbl>
              <c:idx val="7"/>
              <c:layout>
                <c:manualLayout>
                  <c:x val="-3.4520684363470139E-2"/>
                  <c:y val="4.2333668359110906E-2"/>
                </c:manualLayout>
              </c:layout>
              <c:spPr>
                <a:noFill/>
                <a:ln>
                  <a:noFill/>
                </a:ln>
                <a:effectLst/>
              </c:spPr>
              <c:txPr>
                <a:bodyPr rot="0" spcFirstLastPara="1" vertOverflow="ellipsis" vert="horz" wrap="square" anchor="ctr" anchorCtr="1"/>
                <a:lstStyle/>
                <a:p>
                  <a:pPr>
                    <a:defRPr sz="1200" b="1" i="0" u="none" strike="noStrike" kern="1200" spc="0" baseline="0">
                      <a:solidFill>
                        <a:schemeClr val="accent2">
                          <a:lumMod val="60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30666682992131128"/>
                      <c:h val="0.30286907470707547"/>
                    </c:manualLayout>
                  </c15:layout>
                </c:ext>
                <c:ext xmlns:c16="http://schemas.microsoft.com/office/drawing/2014/chart" uri="{C3380CC4-5D6E-409C-BE32-E72D297353CC}">
                  <c16:uniqueId val="{00000009-632E-3C48-BB55-F8B5D24B1BB1}"/>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 tables'!$B$36:$B$43</c:f>
              <c:strCache>
                <c:ptCount val="8"/>
                <c:pt idx="0">
                  <c:v>Sensors</c:v>
                </c:pt>
                <c:pt idx="1">
                  <c:v>Cables &amp; hardware</c:v>
                </c:pt>
                <c:pt idx="2">
                  <c:v>DHF</c:v>
                </c:pt>
                <c:pt idx="3">
                  <c:v>ICL equipment</c:v>
                </c:pt>
                <c:pt idx="4">
                  <c:v>Firn Drill &amp; ARA drill</c:v>
                </c:pt>
                <c:pt idx="5">
                  <c:v>Generators, HPU, fuel tower</c:v>
                </c:pt>
                <c:pt idx="6">
                  <c:v>Hose, drill heads, weight stack, reels</c:v>
                </c:pt>
                <c:pt idx="7">
                  <c:v>Refit components, spare cable, support equipment</c:v>
                </c:pt>
              </c:strCache>
            </c:strRef>
          </c:cat>
          <c:val>
            <c:numRef>
              <c:f>'Summary tables'!$E$36:$E$43</c:f>
              <c:numCache>
                <c:formatCode>#,##0</c:formatCode>
                <c:ptCount val="8"/>
                <c:pt idx="0">
                  <c:v>73027</c:v>
                </c:pt>
                <c:pt idx="1">
                  <c:v>140612</c:v>
                </c:pt>
                <c:pt idx="2">
                  <c:v>12000</c:v>
                </c:pt>
                <c:pt idx="3">
                  <c:v>5075</c:v>
                </c:pt>
                <c:pt idx="4">
                  <c:v>21768</c:v>
                </c:pt>
                <c:pt idx="5">
                  <c:v>104595</c:v>
                </c:pt>
                <c:pt idx="6">
                  <c:v>80847</c:v>
                </c:pt>
                <c:pt idx="7">
                  <c:v>78868</c:v>
                </c:pt>
              </c:numCache>
            </c:numRef>
          </c:val>
          <c:extLst>
            <c:ext xmlns:c16="http://schemas.microsoft.com/office/drawing/2014/chart" uri="{C3380CC4-5D6E-409C-BE32-E72D297353CC}">
              <c16:uniqueId val="{00000000-632E-3C48-BB55-F8B5D24B1BB1}"/>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IceCube Upgrade cargo by VOLUME</a:t>
            </a:r>
          </a:p>
        </c:rich>
      </c:tx>
      <c:layout>
        <c:manualLayout>
          <c:xMode val="edge"/>
          <c:yMode val="edge"/>
          <c:x val="0.39176758300837156"/>
          <c:y val="1.7638991783007624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7324-B448-B2BE-E0C82C89A8E1}"/>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7324-B448-B2BE-E0C82C89A8E1}"/>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7324-B448-B2BE-E0C82C89A8E1}"/>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7324-B448-B2BE-E0C82C89A8E1}"/>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7324-B448-B2BE-E0C82C89A8E1}"/>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7324-B448-B2BE-E0C82C89A8E1}"/>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7324-B448-B2BE-E0C82C89A8E1}"/>
              </c:ext>
            </c:extLst>
          </c:dPt>
          <c:dPt>
            <c:idx val="7"/>
            <c:bubble3D val="0"/>
            <c:spPr>
              <a:solidFill>
                <a:schemeClr val="accent2">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F-7324-B448-B2BE-E0C82C89A8E1}"/>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1-7324-B448-B2BE-E0C82C89A8E1}"/>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3-7324-B448-B2BE-E0C82C89A8E1}"/>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5-7324-B448-B2BE-E0C82C89A8E1}"/>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7-7324-B448-B2BE-E0C82C89A8E1}"/>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9-7324-B448-B2BE-E0C82C89A8E1}"/>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B-7324-B448-B2BE-E0C82C89A8E1}"/>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D-7324-B448-B2BE-E0C82C89A8E1}"/>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n-US"/>
                </a:p>
              </c:txPr>
              <c:dLblPos val="outEnd"/>
              <c:showLegendKey val="0"/>
              <c:showVal val="0"/>
              <c:showCatName val="1"/>
              <c:showSerName val="0"/>
              <c:showPercent val="1"/>
              <c:showBubbleSize val="0"/>
              <c:extLst>
                <c:ext xmlns:c16="http://schemas.microsoft.com/office/drawing/2014/chart" uri="{C3380CC4-5D6E-409C-BE32-E72D297353CC}">
                  <c16:uniqueId val="{0000000F-7324-B448-B2BE-E0C82C89A8E1}"/>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 tables'!$B$36:$B$43</c:f>
              <c:strCache>
                <c:ptCount val="8"/>
                <c:pt idx="0">
                  <c:v>Sensors</c:v>
                </c:pt>
                <c:pt idx="1">
                  <c:v>Cables &amp; hardware</c:v>
                </c:pt>
                <c:pt idx="2">
                  <c:v>DHF</c:v>
                </c:pt>
                <c:pt idx="3">
                  <c:v>ICL equipment</c:v>
                </c:pt>
                <c:pt idx="4">
                  <c:v>Firn Drill &amp; ARA drill</c:v>
                </c:pt>
                <c:pt idx="5">
                  <c:v>Generators, HPU, fuel tower</c:v>
                </c:pt>
                <c:pt idx="6">
                  <c:v>Hose, drill heads, weight stack, reels</c:v>
                </c:pt>
                <c:pt idx="7">
                  <c:v>Refit components, spare cable, support equipment</c:v>
                </c:pt>
              </c:strCache>
            </c:strRef>
          </c:cat>
          <c:val>
            <c:numRef>
              <c:f>'Summary tables'!$C$36:$C$43</c:f>
              <c:numCache>
                <c:formatCode>#,##0</c:formatCode>
                <c:ptCount val="8"/>
                <c:pt idx="0">
                  <c:v>6097.7178819444453</c:v>
                </c:pt>
                <c:pt idx="1">
                  <c:v>6594.6440972222226</c:v>
                </c:pt>
                <c:pt idx="2">
                  <c:v>1280</c:v>
                </c:pt>
                <c:pt idx="3">
                  <c:v>432</c:v>
                </c:pt>
                <c:pt idx="4">
                  <c:v>2831.6232638888887</c:v>
                </c:pt>
                <c:pt idx="5">
                  <c:v>10892</c:v>
                </c:pt>
                <c:pt idx="6">
                  <c:v>6485.0740740740748</c:v>
                </c:pt>
                <c:pt idx="7">
                  <c:v>5382.6973379629635</c:v>
                </c:pt>
              </c:numCache>
            </c:numRef>
          </c:val>
          <c:extLst>
            <c:ext xmlns:c16="http://schemas.microsoft.com/office/drawing/2014/chart" uri="{C3380CC4-5D6E-409C-BE32-E72D297353CC}">
              <c16:uniqueId val="{00000010-7324-B448-B2BE-E0C82C89A8E1}"/>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19</xdr:col>
      <xdr:colOff>370180</xdr:colOff>
      <xdr:row>1</xdr:row>
      <xdr:rowOff>131703</xdr:rowOff>
    </xdr:from>
    <xdr:to>
      <xdr:col>25</xdr:col>
      <xdr:colOff>598780</xdr:colOff>
      <xdr:row>18</xdr:row>
      <xdr:rowOff>4703</xdr:rowOff>
    </xdr:to>
    <xdr:graphicFrame macro="">
      <xdr:nvGraphicFramePr>
        <xdr:cNvPr id="5" name="Chart 4">
          <a:extLst>
            <a:ext uri="{FF2B5EF4-FFF2-40B4-BE49-F238E27FC236}">
              <a16:creationId xmlns:a16="http://schemas.microsoft.com/office/drawing/2014/main" id="{396DA2DF-24DD-C440-AFDC-83E745B860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717550</xdr:colOff>
      <xdr:row>79</xdr:row>
      <xdr:rowOff>50800</xdr:rowOff>
    </xdr:from>
    <xdr:to>
      <xdr:col>17</xdr:col>
      <xdr:colOff>577850</xdr:colOff>
      <xdr:row>88</xdr:row>
      <xdr:rowOff>38100</xdr:rowOff>
    </xdr:to>
    <xdr:graphicFrame macro="">
      <xdr:nvGraphicFramePr>
        <xdr:cNvPr id="6" name="Chart 5">
          <a:extLst>
            <a:ext uri="{FF2B5EF4-FFF2-40B4-BE49-F238E27FC236}">
              <a16:creationId xmlns:a16="http://schemas.microsoft.com/office/drawing/2014/main" id="{763BC106-46CE-9C40-9091-E3047201E0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812800</xdr:colOff>
      <xdr:row>79</xdr:row>
      <xdr:rowOff>82550</xdr:rowOff>
    </xdr:from>
    <xdr:to>
      <xdr:col>24</xdr:col>
      <xdr:colOff>165100</xdr:colOff>
      <xdr:row>87</xdr:row>
      <xdr:rowOff>152400</xdr:rowOff>
    </xdr:to>
    <xdr:graphicFrame macro="">
      <xdr:nvGraphicFramePr>
        <xdr:cNvPr id="8" name="Chart 7">
          <a:extLst>
            <a:ext uri="{FF2B5EF4-FFF2-40B4-BE49-F238E27FC236}">
              <a16:creationId xmlns:a16="http://schemas.microsoft.com/office/drawing/2014/main" id="{AA1AB647-BE77-9B4C-BFED-35B457A0C2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50800</xdr:colOff>
      <xdr:row>99</xdr:row>
      <xdr:rowOff>12700</xdr:rowOff>
    </xdr:from>
    <xdr:to>
      <xdr:col>14</xdr:col>
      <xdr:colOff>1117600</xdr:colOff>
      <xdr:row>116</xdr:row>
      <xdr:rowOff>19050</xdr:rowOff>
    </xdr:to>
    <xdr:graphicFrame macro="">
      <xdr:nvGraphicFramePr>
        <xdr:cNvPr id="9" name="Chart 8">
          <a:extLst>
            <a:ext uri="{FF2B5EF4-FFF2-40B4-BE49-F238E27FC236}">
              <a16:creationId xmlns:a16="http://schemas.microsoft.com/office/drawing/2014/main" id="{C66BCD65-0081-C64D-AB99-1293143494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1397000</xdr:colOff>
      <xdr:row>99</xdr:row>
      <xdr:rowOff>25400</xdr:rowOff>
    </xdr:from>
    <xdr:to>
      <xdr:col>20</xdr:col>
      <xdr:colOff>419100</xdr:colOff>
      <xdr:row>116</xdr:row>
      <xdr:rowOff>31750</xdr:rowOff>
    </xdr:to>
    <xdr:graphicFrame macro="">
      <xdr:nvGraphicFramePr>
        <xdr:cNvPr id="10" name="Chart 9">
          <a:extLst>
            <a:ext uri="{FF2B5EF4-FFF2-40B4-BE49-F238E27FC236}">
              <a16:creationId xmlns:a16="http://schemas.microsoft.com/office/drawing/2014/main" id="{7E219806-A59F-8740-B105-789B2A1C8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351367</xdr:colOff>
      <xdr:row>19</xdr:row>
      <xdr:rowOff>29634</xdr:rowOff>
    </xdr:from>
    <xdr:to>
      <xdr:col>25</xdr:col>
      <xdr:colOff>579967</xdr:colOff>
      <xdr:row>38</xdr:row>
      <xdr:rowOff>182034</xdr:rowOff>
    </xdr:to>
    <xdr:graphicFrame macro="">
      <xdr:nvGraphicFramePr>
        <xdr:cNvPr id="7" name="Chart 6">
          <a:extLst>
            <a:ext uri="{FF2B5EF4-FFF2-40B4-BE49-F238E27FC236}">
              <a16:creationId xmlns:a16="http://schemas.microsoft.com/office/drawing/2014/main" id="{83D49D8E-34EF-9B4A-BC00-10ADFA952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321026</xdr:colOff>
      <xdr:row>41</xdr:row>
      <xdr:rowOff>6350</xdr:rowOff>
    </xdr:from>
    <xdr:to>
      <xdr:col>17</xdr:col>
      <xdr:colOff>772819</xdr:colOff>
      <xdr:row>63</xdr:row>
      <xdr:rowOff>30574</xdr:rowOff>
    </xdr:to>
    <xdr:graphicFrame macro="">
      <xdr:nvGraphicFramePr>
        <xdr:cNvPr id="12" name="Chart 11">
          <a:extLst>
            <a:ext uri="{FF2B5EF4-FFF2-40B4-BE49-F238E27FC236}">
              <a16:creationId xmlns:a16="http://schemas.microsoft.com/office/drawing/2014/main" id="{EA67DBF6-C45A-C647-9503-2BE252F519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0</xdr:colOff>
      <xdr:row>41</xdr:row>
      <xdr:rowOff>0</xdr:rowOff>
    </xdr:from>
    <xdr:to>
      <xdr:col>25</xdr:col>
      <xdr:colOff>810215</xdr:colOff>
      <xdr:row>63</xdr:row>
      <xdr:rowOff>25165</xdr:rowOff>
    </xdr:to>
    <xdr:graphicFrame macro="">
      <xdr:nvGraphicFramePr>
        <xdr:cNvPr id="13" name="Chart 12">
          <a:extLst>
            <a:ext uri="{FF2B5EF4-FFF2-40B4-BE49-F238E27FC236}">
              <a16:creationId xmlns:a16="http://schemas.microsoft.com/office/drawing/2014/main" id="{7776245A-9865-9B42-8CB3-EE60824A03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7</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0D5B8-41A4-4293-8487-86AEA8FCBB0F}">
  <sheetPr codeName="Sheet1"/>
  <dimension ref="A1:AY264"/>
  <sheetViews>
    <sheetView tabSelected="1" zoomScale="106" zoomScaleNormal="106" workbookViewId="0">
      <pane xSplit="4" ySplit="1" topLeftCell="AK70" activePane="bottomRight" state="frozen"/>
      <selection pane="bottomRight" activeCell="AK75" sqref="AK75"/>
      <selection pane="bottomLeft" activeCell="A2" sqref="A2"/>
      <selection pane="topRight" activeCell="E1" sqref="E1"/>
    </sheetView>
  </sheetViews>
  <sheetFormatPr defaultColWidth="9.140625" defaultRowHeight="15"/>
  <cols>
    <col min="1" max="2" width="12.85546875" style="9" customWidth="1"/>
    <col min="3" max="3" width="34.140625" style="15" customWidth="1"/>
    <col min="4" max="4" width="73.7109375" style="15" customWidth="1"/>
    <col min="5" max="7" width="12" style="9" customWidth="1"/>
    <col min="8" max="8" width="10.140625" style="9" customWidth="1"/>
    <col min="9" max="10" width="8.7109375" style="9" customWidth="1"/>
    <col min="11" max="11" width="10" style="9" customWidth="1"/>
    <col min="12" max="12" width="16.28515625" style="74" customWidth="1"/>
    <col min="13" max="13" width="12.7109375" style="9" customWidth="1"/>
    <col min="14" max="15" width="17.140625" style="9" customWidth="1"/>
    <col min="16" max="16" width="17.140625" style="80" customWidth="1"/>
    <col min="17" max="17" width="17.7109375" style="9" customWidth="1"/>
    <col min="18" max="18" width="16.7109375" style="80" customWidth="1"/>
    <col min="19" max="19" width="16.7109375" style="9" customWidth="1"/>
    <col min="20" max="20" width="17.7109375" style="9" customWidth="1"/>
    <col min="21" max="22" width="16.7109375" style="9" customWidth="1"/>
    <col min="23" max="23" width="17.7109375" style="9" customWidth="1"/>
    <col min="24" max="25" width="16.7109375" style="9" customWidth="1"/>
    <col min="26" max="26" width="38" style="80" customWidth="1"/>
    <col min="27" max="27" width="19.7109375" style="13" customWidth="1"/>
    <col min="28" max="28" width="16.42578125" style="9" customWidth="1"/>
    <col min="29" max="29" width="16.42578125" style="80" customWidth="1"/>
    <col min="30" max="36" width="16.42578125" style="9" customWidth="1"/>
    <col min="37" max="37" width="71.140625" style="9" customWidth="1"/>
    <col min="38" max="38" width="60.7109375" style="9" customWidth="1"/>
    <col min="39" max="16384" width="9.140625" style="9"/>
  </cols>
  <sheetData>
    <row r="1" spans="1:42" ht="78.75">
      <c r="A1" s="28" t="s">
        <v>0</v>
      </c>
      <c r="B1" s="28" t="s">
        <v>1</v>
      </c>
      <c r="C1" s="29" t="s">
        <v>2</v>
      </c>
      <c r="D1" s="30" t="s">
        <v>3</v>
      </c>
      <c r="E1" s="28" t="s">
        <v>4</v>
      </c>
      <c r="F1" s="28" t="s">
        <v>5</v>
      </c>
      <c r="G1" s="28" t="s">
        <v>6</v>
      </c>
      <c r="H1" s="28" t="s">
        <v>7</v>
      </c>
      <c r="I1" s="28" t="s">
        <v>8</v>
      </c>
      <c r="J1" s="28" t="s">
        <v>9</v>
      </c>
      <c r="K1" s="28" t="s">
        <v>10</v>
      </c>
      <c r="L1" s="28" t="s">
        <v>11</v>
      </c>
      <c r="M1" s="28" t="s">
        <v>12</v>
      </c>
      <c r="N1" s="28" t="s">
        <v>13</v>
      </c>
      <c r="O1" s="402" t="s">
        <v>14</v>
      </c>
      <c r="P1" s="83" t="s">
        <v>15</v>
      </c>
      <c r="Q1" s="31" t="s">
        <v>16</v>
      </c>
      <c r="R1" s="93" t="s">
        <v>17</v>
      </c>
      <c r="S1" s="31" t="s">
        <v>18</v>
      </c>
      <c r="T1" s="32" t="s">
        <v>19</v>
      </c>
      <c r="U1" s="32" t="s">
        <v>17</v>
      </c>
      <c r="V1" s="32" t="s">
        <v>18</v>
      </c>
      <c r="W1" s="33" t="s">
        <v>20</v>
      </c>
      <c r="X1" s="33" t="s">
        <v>17</v>
      </c>
      <c r="Y1" s="33" t="s">
        <v>18</v>
      </c>
      <c r="Z1" s="83" t="s">
        <v>21</v>
      </c>
      <c r="AA1" s="28" t="s">
        <v>22</v>
      </c>
      <c r="AB1" s="28" t="s">
        <v>23</v>
      </c>
      <c r="AC1" s="83" t="s">
        <v>24</v>
      </c>
      <c r="AD1" s="28" t="s">
        <v>25</v>
      </c>
      <c r="AE1" s="28" t="s">
        <v>26</v>
      </c>
      <c r="AF1" s="28" t="s">
        <v>27</v>
      </c>
      <c r="AG1" s="28" t="s">
        <v>28</v>
      </c>
      <c r="AH1" s="28" t="s">
        <v>29</v>
      </c>
      <c r="AI1" s="28" t="s">
        <v>30</v>
      </c>
      <c r="AJ1" s="28" t="s">
        <v>29</v>
      </c>
      <c r="AK1" s="28" t="s">
        <v>31</v>
      </c>
      <c r="AL1" s="28"/>
    </row>
    <row r="2" spans="1:42" ht="33.950000000000003">
      <c r="A2" s="10">
        <v>1.2</v>
      </c>
      <c r="B2" s="50" t="s">
        <v>32</v>
      </c>
      <c r="C2" s="14" t="s">
        <v>33</v>
      </c>
      <c r="D2" s="3" t="s">
        <v>34</v>
      </c>
      <c r="E2" s="4">
        <v>240</v>
      </c>
      <c r="F2" s="4">
        <v>96</v>
      </c>
      <c r="G2" s="4">
        <v>102</v>
      </c>
      <c r="H2" s="4">
        <v>1</v>
      </c>
      <c r="I2" s="4">
        <f t="shared" ref="I2:I12" si="0">E2*F2*G2/1728*H2</f>
        <v>1360</v>
      </c>
      <c r="J2" s="4">
        <v>22000</v>
      </c>
      <c r="K2" s="4">
        <f>IF(ISERROR(SEARCH("totals", C2)),H2*J2, "")</f>
        <v>22000</v>
      </c>
      <c r="L2" s="4" t="s">
        <v>35</v>
      </c>
      <c r="M2" s="4"/>
      <c r="N2" s="427" t="s">
        <v>36</v>
      </c>
      <c r="O2" s="428" t="s">
        <v>37</v>
      </c>
      <c r="P2" s="242">
        <v>43867</v>
      </c>
      <c r="Q2" s="428" t="s">
        <v>37</v>
      </c>
      <c r="R2" s="429" t="s">
        <v>38</v>
      </c>
      <c r="S2" s="428" t="s">
        <v>38</v>
      </c>
      <c r="T2" s="430" t="s">
        <v>37</v>
      </c>
      <c r="U2" s="431" t="s">
        <v>38</v>
      </c>
      <c r="V2" s="431" t="s">
        <v>38</v>
      </c>
      <c r="W2" s="432" t="s">
        <v>37</v>
      </c>
      <c r="X2" s="433" t="s">
        <v>38</v>
      </c>
      <c r="Y2" s="433" t="s">
        <v>38</v>
      </c>
      <c r="Z2" s="88" t="s">
        <v>37</v>
      </c>
      <c r="AA2" s="434" t="s">
        <v>38</v>
      </c>
      <c r="AB2" s="409" t="s">
        <v>39</v>
      </c>
      <c r="AC2" s="435">
        <v>45261</v>
      </c>
      <c r="AD2" s="409" t="s">
        <v>40</v>
      </c>
      <c r="AE2" s="409" t="str">
        <f t="shared" ref="AE2:AE33" si="1">IF(ISBLANK(Z2),"",IFERROR(LOOKUP(Z2,FY_dates, inter_label),Z2))</f>
        <v>In McMurdo</v>
      </c>
      <c r="AF2" s="409" t="str">
        <f t="shared" ref="AF2:AF33" si="2">IF(ISBLANK(AC2),"",IFERROR(LOOKUP(AC2,FY_dates, intra_label),AC2))</f>
        <v>FY24 intra</v>
      </c>
      <c r="AG2" s="409" t="s">
        <v>41</v>
      </c>
      <c r="AH2" s="409">
        <v>44475</v>
      </c>
      <c r="AI2" s="409" t="s">
        <v>42</v>
      </c>
      <c r="AJ2" s="409">
        <v>44475</v>
      </c>
      <c r="AK2" s="10" t="s">
        <v>43</v>
      </c>
      <c r="AL2" s="409"/>
    </row>
    <row r="3" spans="1:42" ht="51">
      <c r="A3" s="10">
        <v>1.2</v>
      </c>
      <c r="B3" s="50" t="s">
        <v>32</v>
      </c>
      <c r="C3" s="14" t="s">
        <v>44</v>
      </c>
      <c r="D3" s="3" t="s">
        <v>45</v>
      </c>
      <c r="E3" s="4">
        <v>240</v>
      </c>
      <c r="F3" s="4">
        <v>96</v>
      </c>
      <c r="G3" s="4">
        <v>102</v>
      </c>
      <c r="H3" s="4">
        <v>1</v>
      </c>
      <c r="I3" s="4">
        <f t="shared" si="0"/>
        <v>1360</v>
      </c>
      <c r="J3" s="4">
        <v>22000</v>
      </c>
      <c r="K3" s="4">
        <f t="shared" ref="K3:K68" si="3">IF(ISERROR(SEARCH("totals", C3)),H3*J3, "")</f>
        <v>22000</v>
      </c>
      <c r="L3" s="4" t="s">
        <v>35</v>
      </c>
      <c r="M3" s="4"/>
      <c r="N3" s="427" t="s">
        <v>36</v>
      </c>
      <c r="O3" s="428" t="s">
        <v>37</v>
      </c>
      <c r="P3" s="242">
        <v>43845</v>
      </c>
      <c r="Q3" s="428" t="s">
        <v>37</v>
      </c>
      <c r="R3" s="429" t="s">
        <v>38</v>
      </c>
      <c r="S3" s="428" t="s">
        <v>38</v>
      </c>
      <c r="T3" s="430" t="s">
        <v>37</v>
      </c>
      <c r="U3" s="431" t="s">
        <v>38</v>
      </c>
      <c r="V3" s="431" t="s">
        <v>38</v>
      </c>
      <c r="W3" s="432" t="s">
        <v>37</v>
      </c>
      <c r="X3" s="433" t="s">
        <v>38</v>
      </c>
      <c r="Y3" s="433" t="s">
        <v>38</v>
      </c>
      <c r="Z3" s="88" t="s">
        <v>37</v>
      </c>
      <c r="AA3" s="434" t="s">
        <v>38</v>
      </c>
      <c r="AB3" s="409" t="s">
        <v>39</v>
      </c>
      <c r="AC3" s="435">
        <v>44927</v>
      </c>
      <c r="AD3" s="409" t="s">
        <v>40</v>
      </c>
      <c r="AE3" s="409" t="str">
        <f t="shared" si="1"/>
        <v>In McMurdo</v>
      </c>
      <c r="AF3" s="409" t="str">
        <f t="shared" si="2"/>
        <v>FY23 intra</v>
      </c>
      <c r="AG3" s="409" t="s">
        <v>41</v>
      </c>
      <c r="AH3" s="409">
        <v>44475</v>
      </c>
      <c r="AI3" s="409" t="s">
        <v>42</v>
      </c>
      <c r="AJ3" s="409">
        <v>44475</v>
      </c>
      <c r="AK3" s="10" t="s">
        <v>46</v>
      </c>
      <c r="AL3" s="10"/>
    </row>
    <row r="4" spans="1:42" ht="42.95" customHeight="1">
      <c r="A4" s="25">
        <v>1.2</v>
      </c>
      <c r="B4" s="50" t="s">
        <v>32</v>
      </c>
      <c r="C4" s="14" t="s">
        <v>47</v>
      </c>
      <c r="D4" s="3" t="s">
        <v>48</v>
      </c>
      <c r="E4" s="4">
        <v>240</v>
      </c>
      <c r="F4" s="4">
        <v>96</v>
      </c>
      <c r="G4" s="4">
        <v>102</v>
      </c>
      <c r="H4" s="23">
        <v>1</v>
      </c>
      <c r="I4" s="4">
        <f t="shared" si="0"/>
        <v>1360</v>
      </c>
      <c r="J4" s="4">
        <v>22000</v>
      </c>
      <c r="K4" s="4">
        <f t="shared" si="3"/>
        <v>22000</v>
      </c>
      <c r="L4" s="4" t="s">
        <v>35</v>
      </c>
      <c r="M4" s="436"/>
      <c r="N4" s="427" t="s">
        <v>36</v>
      </c>
      <c r="O4" s="428" t="s">
        <v>37</v>
      </c>
      <c r="P4" s="242">
        <v>43845</v>
      </c>
      <c r="Q4" s="428" t="s">
        <v>37</v>
      </c>
      <c r="R4" s="429" t="s">
        <v>38</v>
      </c>
      <c r="S4" s="428" t="s">
        <v>38</v>
      </c>
      <c r="T4" s="430" t="s">
        <v>37</v>
      </c>
      <c r="U4" s="431" t="s">
        <v>38</v>
      </c>
      <c r="V4" s="431" t="s">
        <v>38</v>
      </c>
      <c r="W4" s="432" t="s">
        <v>37</v>
      </c>
      <c r="X4" s="433" t="s">
        <v>38</v>
      </c>
      <c r="Y4" s="433" t="s">
        <v>38</v>
      </c>
      <c r="Z4" s="88" t="s">
        <v>37</v>
      </c>
      <c r="AA4" s="434" t="s">
        <v>38</v>
      </c>
      <c r="AB4" s="409" t="s">
        <v>39</v>
      </c>
      <c r="AC4" s="435">
        <v>44896</v>
      </c>
      <c r="AD4" s="409" t="s">
        <v>40</v>
      </c>
      <c r="AE4" s="409" t="str">
        <f t="shared" si="1"/>
        <v>In McMurdo</v>
      </c>
      <c r="AF4" s="409" t="str">
        <f t="shared" si="2"/>
        <v>FY23 intra</v>
      </c>
      <c r="AG4" s="409" t="s">
        <v>41</v>
      </c>
      <c r="AH4" s="409">
        <v>44475</v>
      </c>
      <c r="AI4" s="409" t="s">
        <v>42</v>
      </c>
      <c r="AJ4" s="409">
        <v>44475</v>
      </c>
      <c r="AK4" s="10" t="s">
        <v>46</v>
      </c>
      <c r="AL4" s="409"/>
    </row>
    <row r="5" spans="1:42" ht="34.5" customHeight="1">
      <c r="A5" s="427">
        <v>1.2</v>
      </c>
      <c r="B5" s="50" t="s">
        <v>32</v>
      </c>
      <c r="C5" s="14" t="s">
        <v>49</v>
      </c>
      <c r="D5" s="14" t="s">
        <v>50</v>
      </c>
      <c r="E5" s="10">
        <v>114</v>
      </c>
      <c r="F5" s="10">
        <v>77</v>
      </c>
      <c r="G5" s="10">
        <v>96</v>
      </c>
      <c r="H5" s="10">
        <v>1</v>
      </c>
      <c r="I5" s="4">
        <f t="shared" si="0"/>
        <v>487.66666666666669</v>
      </c>
      <c r="J5" s="4">
        <v>10273</v>
      </c>
      <c r="K5" s="4">
        <f t="shared" si="3"/>
        <v>10273</v>
      </c>
      <c r="L5" s="4" t="s">
        <v>35</v>
      </c>
      <c r="M5" s="5"/>
      <c r="N5" s="427" t="s">
        <v>36</v>
      </c>
      <c r="O5" s="428" t="s">
        <v>37</v>
      </c>
      <c r="P5" s="242">
        <v>43753</v>
      </c>
      <c r="Q5" s="428" t="s">
        <v>37</v>
      </c>
      <c r="R5" s="94">
        <v>43784</v>
      </c>
      <c r="S5" s="428" t="s">
        <v>51</v>
      </c>
      <c r="T5" s="430" t="s">
        <v>37</v>
      </c>
      <c r="U5" s="431" t="s">
        <v>38</v>
      </c>
      <c r="V5" s="431" t="s">
        <v>38</v>
      </c>
      <c r="W5" s="432" t="s">
        <v>37</v>
      </c>
      <c r="X5" s="433" t="s">
        <v>38</v>
      </c>
      <c r="Y5" s="433" t="s">
        <v>38</v>
      </c>
      <c r="Z5" s="88" t="s">
        <v>37</v>
      </c>
      <c r="AA5" s="434" t="s">
        <v>38</v>
      </c>
      <c r="AB5" s="427" t="s">
        <v>52</v>
      </c>
      <c r="AC5" s="435">
        <v>44896</v>
      </c>
      <c r="AD5" s="409" t="s">
        <v>53</v>
      </c>
      <c r="AE5" s="409" t="str">
        <f t="shared" si="1"/>
        <v>In McMurdo</v>
      </c>
      <c r="AF5" s="409" t="str">
        <f t="shared" si="2"/>
        <v>FY23 intra</v>
      </c>
      <c r="AG5" s="409" t="s">
        <v>41</v>
      </c>
      <c r="AH5" s="409">
        <v>44476</v>
      </c>
      <c r="AI5" s="409" t="s">
        <v>42</v>
      </c>
      <c r="AJ5" s="409">
        <v>44476</v>
      </c>
      <c r="AK5" s="52" t="s">
        <v>54</v>
      </c>
      <c r="AL5" s="409"/>
    </row>
    <row r="6" spans="1:42" ht="44.1" customHeight="1">
      <c r="A6" s="437">
        <v>1.2</v>
      </c>
      <c r="B6" s="50" t="s">
        <v>32</v>
      </c>
      <c r="C6" s="1" t="s">
        <v>55</v>
      </c>
      <c r="D6" s="438" t="s">
        <v>56</v>
      </c>
      <c r="E6" s="4">
        <v>108</v>
      </c>
      <c r="F6" s="4">
        <v>53</v>
      </c>
      <c r="G6" s="4">
        <v>60</v>
      </c>
      <c r="H6" s="23">
        <v>2</v>
      </c>
      <c r="I6" s="4">
        <f t="shared" si="0"/>
        <v>397.5</v>
      </c>
      <c r="J6" s="4">
        <v>330</v>
      </c>
      <c r="K6" s="4">
        <f t="shared" si="3"/>
        <v>660</v>
      </c>
      <c r="L6" s="4" t="s">
        <v>35</v>
      </c>
      <c r="M6" s="439"/>
      <c r="N6" s="427" t="s">
        <v>36</v>
      </c>
      <c r="O6" s="428" t="s">
        <v>37</v>
      </c>
      <c r="P6" s="242">
        <v>43814</v>
      </c>
      <c r="Q6" s="428" t="s">
        <v>37</v>
      </c>
      <c r="R6" s="113"/>
      <c r="S6" s="428"/>
      <c r="T6" s="431" t="s">
        <v>37</v>
      </c>
      <c r="U6" s="431" t="s">
        <v>38</v>
      </c>
      <c r="V6" s="431" t="s">
        <v>38</v>
      </c>
      <c r="W6" s="433" t="s">
        <v>37</v>
      </c>
      <c r="X6" s="433" t="s">
        <v>38</v>
      </c>
      <c r="Y6" s="433" t="s">
        <v>38</v>
      </c>
      <c r="Z6" s="88" t="s">
        <v>37</v>
      </c>
      <c r="AA6" s="434" t="s">
        <v>38</v>
      </c>
      <c r="AB6" s="427" t="s">
        <v>52</v>
      </c>
      <c r="AC6" s="435">
        <v>45292</v>
      </c>
      <c r="AD6" s="409" t="s">
        <v>57</v>
      </c>
      <c r="AE6" s="409" t="str">
        <f t="shared" si="1"/>
        <v>In McMurdo</v>
      </c>
      <c r="AF6" s="409" t="str">
        <f t="shared" si="2"/>
        <v>FY24 intra</v>
      </c>
      <c r="AG6" s="409" t="s">
        <v>41</v>
      </c>
      <c r="AH6" s="409">
        <v>44477</v>
      </c>
      <c r="AI6" s="409" t="s">
        <v>42</v>
      </c>
      <c r="AJ6" s="409">
        <v>44477</v>
      </c>
      <c r="AK6" s="409" t="s">
        <v>58</v>
      </c>
      <c r="AL6" s="409"/>
    </row>
    <row r="7" spans="1:42" ht="38.25" customHeight="1">
      <c r="A7" s="25">
        <v>1.2</v>
      </c>
      <c r="B7" s="50" t="s">
        <v>32</v>
      </c>
      <c r="C7" s="3" t="s">
        <v>59</v>
      </c>
      <c r="D7" s="3" t="s">
        <v>60</v>
      </c>
      <c r="E7" s="23">
        <v>264</v>
      </c>
      <c r="F7" s="23">
        <v>94</v>
      </c>
      <c r="G7" s="23">
        <v>97</v>
      </c>
      <c r="H7" s="23">
        <v>1</v>
      </c>
      <c r="I7" s="4">
        <f t="shared" si="0"/>
        <v>1393.0277777777778</v>
      </c>
      <c r="J7" s="4">
        <v>12000</v>
      </c>
      <c r="K7" s="4">
        <f t="shared" si="3"/>
        <v>12000</v>
      </c>
      <c r="L7" s="4" t="s">
        <v>35</v>
      </c>
      <c r="M7" s="436"/>
      <c r="N7" s="427" t="s">
        <v>36</v>
      </c>
      <c r="O7" s="428" t="s">
        <v>37</v>
      </c>
      <c r="P7" s="242">
        <v>43845</v>
      </c>
      <c r="Q7" s="428" t="s">
        <v>37</v>
      </c>
      <c r="R7" s="429"/>
      <c r="S7" s="428"/>
      <c r="T7" s="431" t="s">
        <v>37</v>
      </c>
      <c r="U7" s="431" t="s">
        <v>38</v>
      </c>
      <c r="V7" s="431" t="s">
        <v>38</v>
      </c>
      <c r="W7" s="433" t="s">
        <v>37</v>
      </c>
      <c r="X7" s="433" t="s">
        <v>38</v>
      </c>
      <c r="Y7" s="433" t="s">
        <v>38</v>
      </c>
      <c r="Z7" s="88" t="s">
        <v>37</v>
      </c>
      <c r="AA7" s="434" t="s">
        <v>38</v>
      </c>
      <c r="AB7" s="427" t="s">
        <v>52</v>
      </c>
      <c r="AC7" s="435">
        <v>45261</v>
      </c>
      <c r="AD7" s="409" t="s">
        <v>40</v>
      </c>
      <c r="AE7" s="409" t="str">
        <f t="shared" si="1"/>
        <v>In McMurdo</v>
      </c>
      <c r="AF7" s="409" t="str">
        <f t="shared" si="2"/>
        <v>FY24 intra</v>
      </c>
      <c r="AG7" s="409" t="s">
        <v>41</v>
      </c>
      <c r="AH7" s="409">
        <v>44477</v>
      </c>
      <c r="AI7" s="409" t="s">
        <v>42</v>
      </c>
      <c r="AJ7" s="409">
        <v>44477</v>
      </c>
      <c r="AK7" s="409" t="s">
        <v>61</v>
      </c>
      <c r="AL7" s="409"/>
    </row>
    <row r="8" spans="1:42" ht="17.100000000000001">
      <c r="A8" s="10">
        <v>1.2</v>
      </c>
      <c r="B8" s="50" t="s">
        <v>32</v>
      </c>
      <c r="C8" s="14" t="s">
        <v>62</v>
      </c>
      <c r="D8" s="14" t="s">
        <v>63</v>
      </c>
      <c r="E8" s="4">
        <v>97</v>
      </c>
      <c r="F8" s="4">
        <v>44</v>
      </c>
      <c r="G8" s="4">
        <v>63</v>
      </c>
      <c r="H8" s="4">
        <v>1</v>
      </c>
      <c r="I8" s="4">
        <f t="shared" si="0"/>
        <v>155.60416666666666</v>
      </c>
      <c r="J8" s="4">
        <v>920</v>
      </c>
      <c r="K8" s="4">
        <f t="shared" si="3"/>
        <v>920</v>
      </c>
      <c r="L8" s="4" t="s">
        <v>35</v>
      </c>
      <c r="M8" s="4"/>
      <c r="N8" s="427" t="s">
        <v>36</v>
      </c>
      <c r="O8" s="428" t="s">
        <v>37</v>
      </c>
      <c r="P8" s="242">
        <v>43845</v>
      </c>
      <c r="Q8" s="428" t="s">
        <v>37</v>
      </c>
      <c r="R8" s="429" t="s">
        <v>38</v>
      </c>
      <c r="S8" s="428" t="s">
        <v>38</v>
      </c>
      <c r="T8" s="431" t="s">
        <v>37</v>
      </c>
      <c r="U8" s="431" t="s">
        <v>38</v>
      </c>
      <c r="V8" s="431" t="s">
        <v>38</v>
      </c>
      <c r="W8" s="432" t="s">
        <v>37</v>
      </c>
      <c r="X8" s="433" t="s">
        <v>38</v>
      </c>
      <c r="Y8" s="433" t="s">
        <v>38</v>
      </c>
      <c r="Z8" s="88" t="s">
        <v>37</v>
      </c>
      <c r="AA8" s="434" t="s">
        <v>38</v>
      </c>
      <c r="AB8" s="427" t="s">
        <v>52</v>
      </c>
      <c r="AC8" s="435">
        <v>45261</v>
      </c>
      <c r="AD8" s="409" t="s">
        <v>40</v>
      </c>
      <c r="AE8" s="409" t="str">
        <f t="shared" si="1"/>
        <v>In McMurdo</v>
      </c>
      <c r="AF8" s="409" t="str">
        <f t="shared" si="2"/>
        <v>FY24 intra</v>
      </c>
      <c r="AG8" s="409" t="s">
        <v>41</v>
      </c>
      <c r="AH8" s="409">
        <v>44477</v>
      </c>
      <c r="AI8" s="409" t="s">
        <v>42</v>
      </c>
      <c r="AJ8" s="409">
        <v>44477</v>
      </c>
      <c r="AK8" s="409"/>
      <c r="AL8" s="409"/>
    </row>
    <row r="9" spans="1:42" ht="17.100000000000001">
      <c r="A9" s="10">
        <v>1.2</v>
      </c>
      <c r="B9" s="50" t="s">
        <v>32</v>
      </c>
      <c r="C9" s="14" t="s">
        <v>64</v>
      </c>
      <c r="D9" s="14" t="s">
        <v>65</v>
      </c>
      <c r="E9" s="4">
        <v>125</v>
      </c>
      <c r="F9" s="4">
        <v>33</v>
      </c>
      <c r="G9" s="4">
        <v>37</v>
      </c>
      <c r="H9" s="4">
        <v>1</v>
      </c>
      <c r="I9" s="4">
        <f t="shared" si="0"/>
        <v>88.324652777777771</v>
      </c>
      <c r="J9" s="4">
        <v>1048</v>
      </c>
      <c r="K9" s="4">
        <f t="shared" si="3"/>
        <v>1048</v>
      </c>
      <c r="L9" s="4" t="s">
        <v>35</v>
      </c>
      <c r="M9" s="4"/>
      <c r="N9" s="427" t="s">
        <v>36</v>
      </c>
      <c r="O9" s="428" t="s">
        <v>37</v>
      </c>
      <c r="P9" s="242">
        <v>43845</v>
      </c>
      <c r="Q9" s="428" t="s">
        <v>37</v>
      </c>
      <c r="R9" s="429" t="s">
        <v>38</v>
      </c>
      <c r="S9" s="428" t="s">
        <v>38</v>
      </c>
      <c r="T9" s="431" t="s">
        <v>37</v>
      </c>
      <c r="U9" s="431" t="s">
        <v>38</v>
      </c>
      <c r="V9" s="431" t="s">
        <v>38</v>
      </c>
      <c r="W9" s="432" t="s">
        <v>37</v>
      </c>
      <c r="X9" s="433" t="s">
        <v>38</v>
      </c>
      <c r="Y9" s="433" t="s">
        <v>38</v>
      </c>
      <c r="Z9" s="88" t="s">
        <v>37</v>
      </c>
      <c r="AA9" s="434" t="s">
        <v>38</v>
      </c>
      <c r="AB9" s="427" t="s">
        <v>52</v>
      </c>
      <c r="AC9" s="435">
        <v>45261</v>
      </c>
      <c r="AD9" s="409" t="s">
        <v>40</v>
      </c>
      <c r="AE9" s="409" t="str">
        <f t="shared" si="1"/>
        <v>In McMurdo</v>
      </c>
      <c r="AF9" s="409" t="str">
        <f t="shared" si="2"/>
        <v>FY24 intra</v>
      </c>
      <c r="AG9" s="409" t="s">
        <v>41</v>
      </c>
      <c r="AH9" s="409">
        <v>44477</v>
      </c>
      <c r="AI9" s="409" t="s">
        <v>42</v>
      </c>
      <c r="AJ9" s="409">
        <v>44477</v>
      </c>
      <c r="AK9" s="409"/>
      <c r="AL9" s="409"/>
    </row>
    <row r="10" spans="1:42" s="91" customFormat="1" ht="31.5" customHeight="1">
      <c r="A10" s="25">
        <v>1.2</v>
      </c>
      <c r="B10" s="50" t="s">
        <v>32</v>
      </c>
      <c r="C10" s="3" t="s">
        <v>66</v>
      </c>
      <c r="D10" s="3" t="s">
        <v>67</v>
      </c>
      <c r="E10" s="23">
        <v>120</v>
      </c>
      <c r="F10" s="23">
        <v>48</v>
      </c>
      <c r="G10" s="23">
        <v>48</v>
      </c>
      <c r="H10" s="23">
        <v>1</v>
      </c>
      <c r="I10" s="4">
        <f t="shared" si="0"/>
        <v>160</v>
      </c>
      <c r="J10" s="4">
        <v>600</v>
      </c>
      <c r="K10" s="4">
        <f t="shared" si="3"/>
        <v>600</v>
      </c>
      <c r="L10" s="4" t="s">
        <v>35</v>
      </c>
      <c r="M10" s="436"/>
      <c r="N10" s="427" t="s">
        <v>36</v>
      </c>
      <c r="O10" s="428" t="s">
        <v>37</v>
      </c>
      <c r="P10" s="242">
        <v>43845</v>
      </c>
      <c r="Q10" s="428" t="s">
        <v>37</v>
      </c>
      <c r="R10" s="429"/>
      <c r="S10" s="428"/>
      <c r="T10" s="431" t="s">
        <v>37</v>
      </c>
      <c r="U10" s="431" t="s">
        <v>38</v>
      </c>
      <c r="V10" s="431" t="s">
        <v>38</v>
      </c>
      <c r="W10" s="433" t="s">
        <v>37</v>
      </c>
      <c r="X10" s="433" t="s">
        <v>38</v>
      </c>
      <c r="Y10" s="433" t="s">
        <v>38</v>
      </c>
      <c r="Z10" s="88" t="s">
        <v>37</v>
      </c>
      <c r="AA10" s="434" t="s">
        <v>38</v>
      </c>
      <c r="AB10" s="427" t="s">
        <v>52</v>
      </c>
      <c r="AC10" s="435">
        <v>45275</v>
      </c>
      <c r="AD10" s="409" t="s">
        <v>57</v>
      </c>
      <c r="AE10" s="409" t="str">
        <f t="shared" si="1"/>
        <v>In McMurdo</v>
      </c>
      <c r="AF10" s="409" t="str">
        <f t="shared" si="2"/>
        <v>FY24 intra</v>
      </c>
      <c r="AG10" s="409" t="s">
        <v>41</v>
      </c>
      <c r="AH10" s="409">
        <v>44477</v>
      </c>
      <c r="AI10" s="409" t="s">
        <v>42</v>
      </c>
      <c r="AJ10" s="409">
        <v>44477</v>
      </c>
      <c r="AK10" s="409" t="s">
        <v>68</v>
      </c>
      <c r="AL10" s="409"/>
      <c r="AM10" s="9"/>
      <c r="AN10" s="9"/>
      <c r="AO10" s="9"/>
    </row>
    <row r="11" spans="1:42" ht="44.1" customHeight="1">
      <c r="A11" s="25">
        <v>1.2</v>
      </c>
      <c r="B11" s="50" t="s">
        <v>32</v>
      </c>
      <c r="C11" s="3" t="s">
        <v>69</v>
      </c>
      <c r="D11" s="3" t="s">
        <v>60</v>
      </c>
      <c r="E11" s="23">
        <v>96</v>
      </c>
      <c r="F11" s="23">
        <v>72</v>
      </c>
      <c r="G11" s="23">
        <v>120</v>
      </c>
      <c r="H11" s="23">
        <v>1</v>
      </c>
      <c r="I11" s="4">
        <f t="shared" si="0"/>
        <v>480</v>
      </c>
      <c r="J11" s="4">
        <v>1500</v>
      </c>
      <c r="K11" s="4">
        <f t="shared" si="3"/>
        <v>1500</v>
      </c>
      <c r="L11" s="4" t="s">
        <v>35</v>
      </c>
      <c r="M11" s="436"/>
      <c r="N11" s="427" t="s">
        <v>36</v>
      </c>
      <c r="O11" s="428" t="s">
        <v>37</v>
      </c>
      <c r="P11" s="242">
        <v>43845</v>
      </c>
      <c r="Q11" s="428" t="s">
        <v>37</v>
      </c>
      <c r="R11" s="429" t="s">
        <v>38</v>
      </c>
      <c r="S11" s="428" t="s">
        <v>38</v>
      </c>
      <c r="T11" s="431" t="s">
        <v>37</v>
      </c>
      <c r="U11" s="431" t="s">
        <v>38</v>
      </c>
      <c r="V11" s="431" t="s">
        <v>38</v>
      </c>
      <c r="W11" s="433" t="s">
        <v>37</v>
      </c>
      <c r="X11" s="433" t="s">
        <v>38</v>
      </c>
      <c r="Y11" s="433" t="s">
        <v>38</v>
      </c>
      <c r="Z11" s="88" t="s">
        <v>37</v>
      </c>
      <c r="AA11" s="434" t="s">
        <v>38</v>
      </c>
      <c r="AB11" s="427" t="s">
        <v>52</v>
      </c>
      <c r="AC11" s="435">
        <v>44927</v>
      </c>
      <c r="AD11" s="409" t="s">
        <v>40</v>
      </c>
      <c r="AE11" s="409" t="str">
        <f t="shared" si="1"/>
        <v>In McMurdo</v>
      </c>
      <c r="AF11" s="409" t="str">
        <f t="shared" si="2"/>
        <v>FY23 intra</v>
      </c>
      <c r="AG11" s="409" t="s">
        <v>41</v>
      </c>
      <c r="AH11" s="409">
        <v>44477</v>
      </c>
      <c r="AI11" s="409" t="s">
        <v>42</v>
      </c>
      <c r="AJ11" s="409">
        <v>44477</v>
      </c>
      <c r="AK11" s="409" t="s">
        <v>70</v>
      </c>
      <c r="AL11" s="409"/>
    </row>
    <row r="12" spans="1:42" ht="31.5">
      <c r="A12" s="25">
        <v>1.2</v>
      </c>
      <c r="B12" s="50" t="s">
        <v>32</v>
      </c>
      <c r="C12" s="3" t="s">
        <v>71</v>
      </c>
      <c r="D12" s="3" t="s">
        <v>72</v>
      </c>
      <c r="E12" s="23">
        <v>480</v>
      </c>
      <c r="F12" s="23">
        <v>96</v>
      </c>
      <c r="G12" s="23">
        <v>102</v>
      </c>
      <c r="H12" s="23">
        <v>1</v>
      </c>
      <c r="I12" s="4">
        <f t="shared" si="0"/>
        <v>2720</v>
      </c>
      <c r="J12" s="4">
        <v>28000</v>
      </c>
      <c r="K12" s="4">
        <f t="shared" si="3"/>
        <v>28000</v>
      </c>
      <c r="L12" s="4" t="s">
        <v>35</v>
      </c>
      <c r="M12" s="436"/>
      <c r="N12" s="427" t="s">
        <v>36</v>
      </c>
      <c r="O12" s="428" t="s">
        <v>37</v>
      </c>
      <c r="P12" s="242">
        <v>43845</v>
      </c>
      <c r="Q12" s="428" t="s">
        <v>37</v>
      </c>
      <c r="R12" s="429"/>
      <c r="S12" s="428"/>
      <c r="T12" s="431" t="s">
        <v>37</v>
      </c>
      <c r="U12" s="431" t="s">
        <v>38</v>
      </c>
      <c r="V12" s="431" t="s">
        <v>38</v>
      </c>
      <c r="W12" s="433" t="s">
        <v>37</v>
      </c>
      <c r="X12" s="433" t="s">
        <v>38</v>
      </c>
      <c r="Y12" s="433" t="s">
        <v>38</v>
      </c>
      <c r="Z12" s="88" t="s">
        <v>37</v>
      </c>
      <c r="AA12" s="434" t="s">
        <v>38</v>
      </c>
      <c r="AB12" s="409" t="s">
        <v>39</v>
      </c>
      <c r="AC12" s="435">
        <v>45292</v>
      </c>
      <c r="AD12" s="409" t="s">
        <v>40</v>
      </c>
      <c r="AE12" s="409" t="str">
        <f t="shared" si="1"/>
        <v>In McMurdo</v>
      </c>
      <c r="AF12" s="409" t="str">
        <f t="shared" si="2"/>
        <v>FY24 intra</v>
      </c>
      <c r="AG12" s="409" t="s">
        <v>41</v>
      </c>
      <c r="AH12" s="409">
        <v>44477</v>
      </c>
      <c r="AI12" s="409" t="s">
        <v>42</v>
      </c>
      <c r="AJ12" s="409">
        <v>44477</v>
      </c>
      <c r="AK12" s="409" t="s">
        <v>73</v>
      </c>
      <c r="AL12" s="409"/>
    </row>
    <row r="13" spans="1:42" s="91" customFormat="1" ht="31.5" customHeight="1">
      <c r="A13" s="53"/>
      <c r="B13" s="55"/>
      <c r="C13" s="54" t="s">
        <v>74</v>
      </c>
      <c r="D13" s="55"/>
      <c r="E13" s="44"/>
      <c r="F13" s="44"/>
      <c r="G13" s="44" t="s">
        <v>75</v>
      </c>
      <c r="H13" s="56">
        <f>I13/(1360*0.7)</f>
        <v>10.464415193160601</v>
      </c>
      <c r="I13" s="57">
        <f>SUM(I2:I12)</f>
        <v>9962.1232638888905</v>
      </c>
      <c r="J13" s="57"/>
      <c r="K13" s="44">
        <f>SUM(K2:K12)</f>
        <v>121001</v>
      </c>
      <c r="L13" s="44"/>
      <c r="M13" s="44"/>
      <c r="N13" s="58"/>
      <c r="O13" s="58"/>
      <c r="P13" s="77"/>
      <c r="Q13" s="59"/>
      <c r="R13" s="77"/>
      <c r="S13" s="60"/>
      <c r="T13" s="59"/>
      <c r="U13" s="60"/>
      <c r="V13" s="60"/>
      <c r="W13" s="59"/>
      <c r="X13" s="60"/>
      <c r="Y13" s="60"/>
      <c r="Z13" s="77"/>
      <c r="AA13" s="60"/>
      <c r="AB13" s="60"/>
      <c r="AC13" s="77"/>
      <c r="AD13" s="59"/>
      <c r="AE13" s="77" t="str">
        <f t="shared" si="1"/>
        <v/>
      </c>
      <c r="AF13" s="59" t="str">
        <f t="shared" si="2"/>
        <v/>
      </c>
      <c r="AG13" s="59"/>
      <c r="AH13" s="59"/>
      <c r="AI13" s="59"/>
      <c r="AJ13" s="59"/>
      <c r="AK13" s="59"/>
      <c r="AL13" s="59"/>
      <c r="AM13" s="9"/>
      <c r="AN13" s="9"/>
      <c r="AO13" s="9"/>
      <c r="AP13" s="9"/>
    </row>
    <row r="14" spans="1:42" ht="47.25">
      <c r="A14" s="24">
        <v>1.2</v>
      </c>
      <c r="B14" s="50" t="s">
        <v>32</v>
      </c>
      <c r="C14" s="17" t="s">
        <v>76</v>
      </c>
      <c r="D14" s="17" t="s">
        <v>77</v>
      </c>
      <c r="E14" s="22">
        <v>240</v>
      </c>
      <c r="F14" s="22">
        <v>96</v>
      </c>
      <c r="G14" s="22">
        <v>96</v>
      </c>
      <c r="H14" s="22">
        <v>1</v>
      </c>
      <c r="I14" s="22">
        <f t="shared" ref="I14:I18" si="4">E14*F14*G14/1728*H14</f>
        <v>1280</v>
      </c>
      <c r="J14" s="22">
        <v>4255</v>
      </c>
      <c r="K14" s="4">
        <f t="shared" si="3"/>
        <v>4255</v>
      </c>
      <c r="L14" s="22" t="s">
        <v>35</v>
      </c>
      <c r="M14" s="22"/>
      <c r="N14" s="24" t="s">
        <v>36</v>
      </c>
      <c r="O14" s="428" t="s">
        <v>78</v>
      </c>
      <c r="P14" s="254">
        <v>44193</v>
      </c>
      <c r="Q14" s="428" t="s">
        <v>78</v>
      </c>
      <c r="R14" s="94">
        <v>44211</v>
      </c>
      <c r="S14" s="428" t="s">
        <v>51</v>
      </c>
      <c r="T14" s="430" t="s">
        <v>79</v>
      </c>
      <c r="U14" s="440" t="s">
        <v>38</v>
      </c>
      <c r="V14" s="431" t="s">
        <v>80</v>
      </c>
      <c r="W14" s="432" t="s">
        <v>80</v>
      </c>
      <c r="X14" s="433" t="s">
        <v>38</v>
      </c>
      <c r="Y14" s="433" t="s">
        <v>38</v>
      </c>
      <c r="Z14" s="100">
        <v>44598</v>
      </c>
      <c r="AA14" s="434" t="s">
        <v>38</v>
      </c>
      <c r="AB14" s="427" t="s">
        <v>52</v>
      </c>
      <c r="AC14" s="435">
        <v>44910</v>
      </c>
      <c r="AD14" s="409" t="s">
        <v>53</v>
      </c>
      <c r="AE14" s="409" t="str">
        <f t="shared" si="1"/>
        <v>FY22 inter</v>
      </c>
      <c r="AF14" s="409" t="str">
        <f t="shared" si="2"/>
        <v>FY23 intra</v>
      </c>
      <c r="AG14" s="409" t="s">
        <v>41</v>
      </c>
      <c r="AH14" s="409">
        <v>44477</v>
      </c>
      <c r="AI14" s="409" t="s">
        <v>42</v>
      </c>
      <c r="AJ14" s="409">
        <v>44477</v>
      </c>
      <c r="AK14" s="409" t="s">
        <v>81</v>
      </c>
      <c r="AL14" s="409"/>
    </row>
    <row r="15" spans="1:42" ht="33.950000000000003">
      <c r="A15" s="10">
        <v>1.2</v>
      </c>
      <c r="B15" s="50" t="s">
        <v>32</v>
      </c>
      <c r="C15" s="14" t="s">
        <v>82</v>
      </c>
      <c r="D15" s="14" t="s">
        <v>83</v>
      </c>
      <c r="E15" s="4">
        <v>174</v>
      </c>
      <c r="F15" s="4">
        <v>53</v>
      </c>
      <c r="G15" s="4">
        <v>96</v>
      </c>
      <c r="H15" s="4">
        <v>3</v>
      </c>
      <c r="I15" s="22">
        <f t="shared" si="4"/>
        <v>1537</v>
      </c>
      <c r="J15" s="22">
        <v>586.66666666666663</v>
      </c>
      <c r="K15" s="4">
        <f t="shared" si="3"/>
        <v>1760</v>
      </c>
      <c r="L15" s="22" t="s">
        <v>35</v>
      </c>
      <c r="M15" s="441"/>
      <c r="N15" s="427" t="s">
        <v>36</v>
      </c>
      <c r="O15" s="428" t="s">
        <v>78</v>
      </c>
      <c r="P15" s="242">
        <v>44112</v>
      </c>
      <c r="Q15" s="428" t="s">
        <v>78</v>
      </c>
      <c r="R15" s="94">
        <v>44159</v>
      </c>
      <c r="S15" s="428" t="s">
        <v>51</v>
      </c>
      <c r="T15" s="430" t="s">
        <v>79</v>
      </c>
      <c r="U15" s="440" t="s">
        <v>38</v>
      </c>
      <c r="V15" s="431" t="s">
        <v>80</v>
      </c>
      <c r="W15" s="432" t="s">
        <v>80</v>
      </c>
      <c r="X15" s="433" t="s">
        <v>38</v>
      </c>
      <c r="Y15" s="433" t="s">
        <v>38</v>
      </c>
      <c r="Z15" s="100">
        <v>44963</v>
      </c>
      <c r="AA15" s="434" t="s">
        <v>38</v>
      </c>
      <c r="AB15" s="409" t="s">
        <v>52</v>
      </c>
      <c r="AC15" s="435">
        <v>45292</v>
      </c>
      <c r="AD15" s="409" t="s">
        <v>40</v>
      </c>
      <c r="AE15" s="409" t="str">
        <f t="shared" si="1"/>
        <v>FY23 inter</v>
      </c>
      <c r="AF15" s="409" t="str">
        <f t="shared" si="2"/>
        <v>FY24 intra</v>
      </c>
      <c r="AG15" s="409" t="s">
        <v>41</v>
      </c>
      <c r="AH15" s="409">
        <v>44477</v>
      </c>
      <c r="AI15" s="409" t="s">
        <v>42</v>
      </c>
      <c r="AJ15" s="409">
        <v>44477</v>
      </c>
      <c r="AK15" s="409"/>
      <c r="AL15" s="409"/>
    </row>
    <row r="16" spans="1:42" ht="33.950000000000003">
      <c r="A16" s="10">
        <v>1.2</v>
      </c>
      <c r="B16" s="50" t="s">
        <v>32</v>
      </c>
      <c r="C16" s="14" t="s">
        <v>84</v>
      </c>
      <c r="D16" s="14" t="s">
        <v>83</v>
      </c>
      <c r="E16" s="4">
        <v>108</v>
      </c>
      <c r="F16" s="4">
        <v>53</v>
      </c>
      <c r="G16" s="4">
        <v>60</v>
      </c>
      <c r="H16" s="4">
        <v>2</v>
      </c>
      <c r="I16" s="22">
        <f t="shared" si="4"/>
        <v>397.5</v>
      </c>
      <c r="J16" s="22">
        <v>1210</v>
      </c>
      <c r="K16" s="4">
        <f t="shared" si="3"/>
        <v>2420</v>
      </c>
      <c r="L16" s="22" t="s">
        <v>35</v>
      </c>
      <c r="M16" s="441"/>
      <c r="N16" s="427" t="s">
        <v>36</v>
      </c>
      <c r="O16" s="428" t="s">
        <v>78</v>
      </c>
      <c r="P16" s="242">
        <v>44112</v>
      </c>
      <c r="Q16" s="428" t="s">
        <v>78</v>
      </c>
      <c r="R16" s="94">
        <v>44159</v>
      </c>
      <c r="S16" s="428" t="s">
        <v>51</v>
      </c>
      <c r="T16" s="430" t="s">
        <v>79</v>
      </c>
      <c r="U16" s="440" t="s">
        <v>38</v>
      </c>
      <c r="V16" s="431" t="s">
        <v>80</v>
      </c>
      <c r="W16" s="432" t="s">
        <v>80</v>
      </c>
      <c r="X16" s="433" t="s">
        <v>38</v>
      </c>
      <c r="Y16" s="433" t="s">
        <v>38</v>
      </c>
      <c r="Z16" s="100">
        <v>44963</v>
      </c>
      <c r="AA16" s="434" t="s">
        <v>38</v>
      </c>
      <c r="AB16" s="409" t="s">
        <v>52</v>
      </c>
      <c r="AC16" s="435">
        <v>45292</v>
      </c>
      <c r="AD16" s="409" t="s">
        <v>40</v>
      </c>
      <c r="AE16" s="409" t="str">
        <f t="shared" si="1"/>
        <v>FY23 inter</v>
      </c>
      <c r="AF16" s="409" t="str">
        <f t="shared" si="2"/>
        <v>FY24 intra</v>
      </c>
      <c r="AG16" s="409" t="s">
        <v>41</v>
      </c>
      <c r="AH16" s="409">
        <v>44477</v>
      </c>
      <c r="AI16" s="409" t="s">
        <v>42</v>
      </c>
      <c r="AJ16" s="409">
        <v>44477</v>
      </c>
      <c r="AK16" s="409"/>
      <c r="AL16" s="409"/>
    </row>
    <row r="17" spans="1:42" ht="34.35" customHeight="1">
      <c r="A17" s="10">
        <v>1.2</v>
      </c>
      <c r="B17" s="50" t="s">
        <v>32</v>
      </c>
      <c r="C17" s="17" t="s">
        <v>85</v>
      </c>
      <c r="D17" s="14" t="s">
        <v>86</v>
      </c>
      <c r="E17" s="4">
        <v>92</v>
      </c>
      <c r="F17" s="4">
        <v>92</v>
      </c>
      <c r="G17" s="4">
        <v>70.5</v>
      </c>
      <c r="H17" s="4">
        <v>9</v>
      </c>
      <c r="I17" s="22">
        <f t="shared" si="4"/>
        <v>3107.875</v>
      </c>
      <c r="J17" s="22">
        <v>3531.5555555555557</v>
      </c>
      <c r="K17" s="4">
        <f t="shared" si="3"/>
        <v>31784</v>
      </c>
      <c r="L17" s="22" t="s">
        <v>35</v>
      </c>
      <c r="M17" s="441"/>
      <c r="N17" s="427" t="s">
        <v>36</v>
      </c>
      <c r="O17" s="428" t="s">
        <v>78</v>
      </c>
      <c r="P17" s="242">
        <v>44041</v>
      </c>
      <c r="Q17" s="428" t="s">
        <v>78</v>
      </c>
      <c r="R17" s="94">
        <v>44058</v>
      </c>
      <c r="S17" s="428" t="s">
        <v>51</v>
      </c>
      <c r="T17" s="430" t="s">
        <v>79</v>
      </c>
      <c r="U17" s="440" t="s">
        <v>38</v>
      </c>
      <c r="V17" s="431" t="s">
        <v>80</v>
      </c>
      <c r="W17" s="432" t="s">
        <v>80</v>
      </c>
      <c r="X17" s="433" t="s">
        <v>38</v>
      </c>
      <c r="Y17" s="433" t="s">
        <v>38</v>
      </c>
      <c r="Z17" s="100">
        <v>44963</v>
      </c>
      <c r="AA17" s="434" t="s">
        <v>38</v>
      </c>
      <c r="AB17" s="427" t="s">
        <v>52</v>
      </c>
      <c r="AC17" s="435">
        <v>45292</v>
      </c>
      <c r="AD17" s="409" t="s">
        <v>40</v>
      </c>
      <c r="AE17" s="409" t="str">
        <f t="shared" si="1"/>
        <v>FY23 inter</v>
      </c>
      <c r="AF17" s="409" t="str">
        <f t="shared" si="2"/>
        <v>FY24 intra</v>
      </c>
      <c r="AG17" s="409" t="s">
        <v>41</v>
      </c>
      <c r="AH17" s="409">
        <v>44477</v>
      </c>
      <c r="AI17" s="409" t="s">
        <v>42</v>
      </c>
      <c r="AJ17" s="409">
        <v>44477</v>
      </c>
      <c r="AK17" s="409" t="s">
        <v>87</v>
      </c>
      <c r="AL17" s="409"/>
    </row>
    <row r="18" spans="1:42" ht="34.35" customHeight="1">
      <c r="A18" s="10">
        <v>1.2</v>
      </c>
      <c r="B18" s="50" t="s">
        <v>32</v>
      </c>
      <c r="C18" s="17" t="s">
        <v>85</v>
      </c>
      <c r="D18" s="14" t="s">
        <v>88</v>
      </c>
      <c r="E18" s="4">
        <v>92</v>
      </c>
      <c r="F18" s="4">
        <v>92</v>
      </c>
      <c r="G18" s="4">
        <v>70.5</v>
      </c>
      <c r="H18" s="4">
        <v>3</v>
      </c>
      <c r="I18" s="22">
        <f t="shared" si="4"/>
        <v>1035.9583333333335</v>
      </c>
      <c r="J18" s="22">
        <v>5001</v>
      </c>
      <c r="K18" s="4">
        <f t="shared" si="3"/>
        <v>15003</v>
      </c>
      <c r="L18" s="22" t="s">
        <v>35</v>
      </c>
      <c r="M18" s="441"/>
      <c r="N18" s="427" t="s">
        <v>36</v>
      </c>
      <c r="O18" s="428" t="s">
        <v>78</v>
      </c>
      <c r="P18" s="242">
        <v>44154</v>
      </c>
      <c r="Q18" s="428" t="s">
        <v>78</v>
      </c>
      <c r="R18" s="94">
        <v>44211</v>
      </c>
      <c r="S18" s="428" t="s">
        <v>51</v>
      </c>
      <c r="T18" s="430" t="s">
        <v>79</v>
      </c>
      <c r="U18" s="440" t="s">
        <v>38</v>
      </c>
      <c r="V18" s="431" t="s">
        <v>80</v>
      </c>
      <c r="W18" s="432" t="s">
        <v>80</v>
      </c>
      <c r="X18" s="433" t="s">
        <v>38</v>
      </c>
      <c r="Y18" s="433" t="s">
        <v>38</v>
      </c>
      <c r="Z18" s="100">
        <v>44963</v>
      </c>
      <c r="AA18" s="434" t="s">
        <v>38</v>
      </c>
      <c r="AB18" s="427" t="s">
        <v>52</v>
      </c>
      <c r="AC18" s="435">
        <v>45292</v>
      </c>
      <c r="AD18" s="409" t="s">
        <v>40</v>
      </c>
      <c r="AE18" s="409" t="str">
        <f t="shared" si="1"/>
        <v>FY23 inter</v>
      </c>
      <c r="AF18" s="409" t="str">
        <f t="shared" si="2"/>
        <v>FY24 intra</v>
      </c>
      <c r="AG18" s="409" t="s">
        <v>41</v>
      </c>
      <c r="AH18" s="409">
        <v>44477</v>
      </c>
      <c r="AI18" s="409" t="s">
        <v>42</v>
      </c>
      <c r="AJ18" s="409">
        <v>44477</v>
      </c>
      <c r="AK18" s="409" t="s">
        <v>87</v>
      </c>
      <c r="AL18" s="409"/>
    </row>
    <row r="19" spans="1:42" s="91" customFormat="1" ht="53.1" customHeight="1">
      <c r="A19" s="53"/>
      <c r="B19" s="53"/>
      <c r="C19" s="54" t="s">
        <v>89</v>
      </c>
      <c r="D19" s="62"/>
      <c r="E19" s="57"/>
      <c r="F19" s="57"/>
      <c r="G19" s="44" t="s">
        <v>75</v>
      </c>
      <c r="H19" s="135">
        <f>I19/(1360*0.7)</f>
        <v>7.7293417366946793</v>
      </c>
      <c r="I19" s="57">
        <f>SUM(I14:I18)</f>
        <v>7358.3333333333339</v>
      </c>
      <c r="J19" s="57"/>
      <c r="K19" s="58">
        <f>SUM(K14:K18)</f>
        <v>55222</v>
      </c>
      <c r="L19" s="58"/>
      <c r="M19" s="58"/>
      <c r="N19" s="58"/>
      <c r="O19" s="58"/>
      <c r="P19" s="77"/>
      <c r="Q19" s="59"/>
      <c r="R19" s="77"/>
      <c r="S19" s="60"/>
      <c r="T19" s="59"/>
      <c r="U19" s="60"/>
      <c r="V19" s="60"/>
      <c r="W19" s="59"/>
      <c r="X19" s="60"/>
      <c r="Y19" s="60"/>
      <c r="Z19" s="77"/>
      <c r="AA19" s="60"/>
      <c r="AB19" s="60"/>
      <c r="AC19" s="77"/>
      <c r="AD19" s="59"/>
      <c r="AE19" s="77" t="str">
        <f t="shared" si="1"/>
        <v/>
      </c>
      <c r="AF19" s="59" t="str">
        <f t="shared" si="2"/>
        <v/>
      </c>
      <c r="AG19" s="59"/>
      <c r="AH19" s="59"/>
      <c r="AI19" s="59"/>
      <c r="AJ19" s="59"/>
      <c r="AK19" s="59"/>
      <c r="AL19" s="59"/>
      <c r="AM19" s="9"/>
      <c r="AN19" s="9"/>
      <c r="AO19" s="9"/>
      <c r="AP19" s="9"/>
    </row>
    <row r="20" spans="1:42" ht="39.75" customHeight="1">
      <c r="A20" s="24">
        <v>1.2</v>
      </c>
      <c r="B20" s="50" t="s">
        <v>32</v>
      </c>
      <c r="C20" s="17" t="s">
        <v>90</v>
      </c>
      <c r="D20" s="17" t="s">
        <v>91</v>
      </c>
      <c r="E20" s="22">
        <v>96</v>
      </c>
      <c r="F20" s="22">
        <v>86</v>
      </c>
      <c r="G20" s="22">
        <v>96</v>
      </c>
      <c r="H20" s="22">
        <v>1</v>
      </c>
      <c r="I20" s="22">
        <f t="shared" ref="I20:I57" si="5">E20*F20*G20/1728*H20</f>
        <v>458.66666666666669</v>
      </c>
      <c r="J20" s="22">
        <v>5600</v>
      </c>
      <c r="K20" s="4">
        <f t="shared" si="3"/>
        <v>5600</v>
      </c>
      <c r="L20" s="442" t="s">
        <v>92</v>
      </c>
      <c r="M20" s="442"/>
      <c r="N20" s="434" t="s">
        <v>36</v>
      </c>
      <c r="O20" s="434">
        <f t="shared" ref="O20:O21" si="6">R20-P20</f>
        <v>12</v>
      </c>
      <c r="P20" s="426">
        <v>44503</v>
      </c>
      <c r="Q20" s="443" t="s">
        <v>93</v>
      </c>
      <c r="R20" s="429">
        <v>44515</v>
      </c>
      <c r="S20" s="428" t="s">
        <v>94</v>
      </c>
      <c r="T20" s="430" t="s">
        <v>79</v>
      </c>
      <c r="U20" s="440" t="s">
        <v>38</v>
      </c>
      <c r="V20" s="47" t="s">
        <v>80</v>
      </c>
      <c r="W20" s="432" t="s">
        <v>80</v>
      </c>
      <c r="X20" s="433" t="s">
        <v>38</v>
      </c>
      <c r="Y20" s="433" t="s">
        <v>38</v>
      </c>
      <c r="Z20" s="100">
        <v>44598</v>
      </c>
      <c r="AA20" s="434" t="s">
        <v>38</v>
      </c>
      <c r="AB20" s="409" t="s">
        <v>95</v>
      </c>
      <c r="AC20" s="435">
        <v>44880</v>
      </c>
      <c r="AD20" s="409" t="s">
        <v>40</v>
      </c>
      <c r="AE20" s="409" t="str">
        <f t="shared" si="1"/>
        <v>FY22 inter</v>
      </c>
      <c r="AF20" s="409" t="str">
        <f t="shared" si="2"/>
        <v>FY23 intra</v>
      </c>
      <c r="AG20" s="409" t="s">
        <v>41</v>
      </c>
      <c r="AH20" s="409">
        <v>44477</v>
      </c>
      <c r="AI20" s="409" t="s">
        <v>42</v>
      </c>
      <c r="AJ20" s="409">
        <v>44477</v>
      </c>
      <c r="AK20" s="409" t="s">
        <v>96</v>
      </c>
      <c r="AL20" s="61"/>
    </row>
    <row r="21" spans="1:42" ht="47.25" customHeight="1">
      <c r="A21" s="24">
        <v>1.2</v>
      </c>
      <c r="B21" s="50" t="s">
        <v>32</v>
      </c>
      <c r="C21" s="17" t="s">
        <v>97</v>
      </c>
      <c r="D21" s="17" t="s">
        <v>98</v>
      </c>
      <c r="E21" s="22">
        <v>240</v>
      </c>
      <c r="F21" s="22">
        <v>96</v>
      </c>
      <c r="G21" s="22">
        <v>102</v>
      </c>
      <c r="H21" s="22">
        <v>1</v>
      </c>
      <c r="I21" s="22">
        <f t="shared" si="5"/>
        <v>1360</v>
      </c>
      <c r="J21" s="22">
        <v>17500</v>
      </c>
      <c r="K21" s="4">
        <f t="shared" si="3"/>
        <v>17500</v>
      </c>
      <c r="L21" s="442" t="s">
        <v>92</v>
      </c>
      <c r="M21" s="442"/>
      <c r="N21" s="434" t="s">
        <v>36</v>
      </c>
      <c r="O21" s="434">
        <f t="shared" si="6"/>
        <v>2</v>
      </c>
      <c r="P21" s="426">
        <v>44513</v>
      </c>
      <c r="Q21" s="443" t="s">
        <v>93</v>
      </c>
      <c r="R21" s="429">
        <v>44515</v>
      </c>
      <c r="S21" s="428" t="s">
        <v>94</v>
      </c>
      <c r="T21" s="430" t="s">
        <v>79</v>
      </c>
      <c r="U21" s="440" t="s">
        <v>38</v>
      </c>
      <c r="V21" s="47" t="s">
        <v>80</v>
      </c>
      <c r="W21" s="432" t="s">
        <v>80</v>
      </c>
      <c r="X21" s="433" t="s">
        <v>38</v>
      </c>
      <c r="Y21" s="433" t="s">
        <v>38</v>
      </c>
      <c r="Z21" s="100">
        <v>44598</v>
      </c>
      <c r="AA21" s="434" t="s">
        <v>38</v>
      </c>
      <c r="AB21" s="409" t="s">
        <v>52</v>
      </c>
      <c r="AC21" s="435">
        <v>44896</v>
      </c>
      <c r="AD21" s="409" t="s">
        <v>40</v>
      </c>
      <c r="AE21" s="409" t="str">
        <f t="shared" si="1"/>
        <v>FY22 inter</v>
      </c>
      <c r="AF21" s="409" t="str">
        <f t="shared" si="2"/>
        <v>FY23 intra</v>
      </c>
      <c r="AG21" s="409" t="s">
        <v>41</v>
      </c>
      <c r="AH21" s="409">
        <v>44477</v>
      </c>
      <c r="AI21" s="409" t="s">
        <v>42</v>
      </c>
      <c r="AJ21" s="409">
        <v>44477</v>
      </c>
      <c r="AK21" s="409" t="s">
        <v>99</v>
      </c>
      <c r="AL21" s="409"/>
    </row>
    <row r="22" spans="1:42" ht="51">
      <c r="A22" s="24">
        <v>1.2</v>
      </c>
      <c r="B22" s="50" t="s">
        <v>32</v>
      </c>
      <c r="C22" s="17" t="s">
        <v>100</v>
      </c>
      <c r="D22" s="17" t="s">
        <v>101</v>
      </c>
      <c r="E22" s="22">
        <v>240</v>
      </c>
      <c r="F22" s="22">
        <v>96</v>
      </c>
      <c r="G22" s="22">
        <v>102</v>
      </c>
      <c r="H22" s="22">
        <v>1</v>
      </c>
      <c r="I22" s="22">
        <f t="shared" si="5"/>
        <v>1360</v>
      </c>
      <c r="J22" s="22">
        <v>14280</v>
      </c>
      <c r="K22" s="4">
        <f t="shared" si="3"/>
        <v>14280</v>
      </c>
      <c r="L22" s="22" t="s">
        <v>35</v>
      </c>
      <c r="M22" s="442"/>
      <c r="N22" s="434" t="s">
        <v>36</v>
      </c>
      <c r="O22" s="434" t="s">
        <v>102</v>
      </c>
      <c r="P22" s="426">
        <v>44502</v>
      </c>
      <c r="Q22" s="443" t="s">
        <v>93</v>
      </c>
      <c r="R22" s="429">
        <v>44515</v>
      </c>
      <c r="S22" s="428" t="s">
        <v>51</v>
      </c>
      <c r="T22" s="430" t="s">
        <v>79</v>
      </c>
      <c r="U22" s="440" t="s">
        <v>38</v>
      </c>
      <c r="V22" s="47" t="s">
        <v>80</v>
      </c>
      <c r="W22" s="432" t="s">
        <v>80</v>
      </c>
      <c r="X22" s="433" t="s">
        <v>38</v>
      </c>
      <c r="Y22" s="433" t="s">
        <v>38</v>
      </c>
      <c r="Z22" s="100">
        <v>44598</v>
      </c>
      <c r="AA22" s="434" t="s">
        <v>38</v>
      </c>
      <c r="AB22" s="409" t="s">
        <v>52</v>
      </c>
      <c r="AC22" s="435">
        <v>44910</v>
      </c>
      <c r="AD22" s="409" t="s">
        <v>40</v>
      </c>
      <c r="AE22" s="409" t="str">
        <f t="shared" si="1"/>
        <v>FY22 inter</v>
      </c>
      <c r="AF22" s="409" t="str">
        <f t="shared" si="2"/>
        <v>FY23 intra</v>
      </c>
      <c r="AG22" s="409" t="s">
        <v>41</v>
      </c>
      <c r="AH22" s="409">
        <v>44477</v>
      </c>
      <c r="AI22" s="409" t="s">
        <v>42</v>
      </c>
      <c r="AJ22" s="409">
        <v>44477</v>
      </c>
      <c r="AK22" s="409" t="s">
        <v>103</v>
      </c>
      <c r="AL22" s="409"/>
    </row>
    <row r="23" spans="1:42" ht="79.5" customHeight="1">
      <c r="A23" s="24">
        <v>1.2</v>
      </c>
      <c r="B23" s="50" t="s">
        <v>32</v>
      </c>
      <c r="C23" s="17" t="s">
        <v>104</v>
      </c>
      <c r="D23" s="1" t="s">
        <v>105</v>
      </c>
      <c r="E23" s="442">
        <v>192</v>
      </c>
      <c r="F23" s="442">
        <v>96</v>
      </c>
      <c r="G23" s="442">
        <v>88</v>
      </c>
      <c r="H23" s="22">
        <v>1</v>
      </c>
      <c r="I23" s="22">
        <f t="shared" si="5"/>
        <v>938.66666666666663</v>
      </c>
      <c r="J23" s="22">
        <v>5400</v>
      </c>
      <c r="K23" s="4">
        <f t="shared" si="3"/>
        <v>5400</v>
      </c>
      <c r="L23" s="22" t="s">
        <v>35</v>
      </c>
      <c r="M23" s="22" t="s">
        <v>106</v>
      </c>
      <c r="N23" s="24" t="s">
        <v>36</v>
      </c>
      <c r="O23" s="434" t="s">
        <v>102</v>
      </c>
      <c r="P23" s="96">
        <v>44502</v>
      </c>
      <c r="Q23" s="443" t="s">
        <v>93</v>
      </c>
      <c r="R23" s="429">
        <v>44515</v>
      </c>
      <c r="S23" s="428" t="s">
        <v>94</v>
      </c>
      <c r="T23" s="430" t="s">
        <v>79</v>
      </c>
      <c r="U23" s="440" t="s">
        <v>38</v>
      </c>
      <c r="V23" s="431" t="s">
        <v>80</v>
      </c>
      <c r="W23" s="432" t="s">
        <v>80</v>
      </c>
      <c r="X23" s="433" t="s">
        <v>38</v>
      </c>
      <c r="Y23" s="433" t="s">
        <v>38</v>
      </c>
      <c r="Z23" s="100">
        <v>44598</v>
      </c>
      <c r="AA23" s="434" t="s">
        <v>38</v>
      </c>
      <c r="AB23" s="409" t="s">
        <v>52</v>
      </c>
      <c r="AC23" s="435">
        <v>44910</v>
      </c>
      <c r="AD23" s="409" t="s">
        <v>107</v>
      </c>
      <c r="AE23" s="409" t="str">
        <f t="shared" si="1"/>
        <v>FY22 inter</v>
      </c>
      <c r="AF23" s="409" t="str">
        <f t="shared" si="2"/>
        <v>FY23 intra</v>
      </c>
      <c r="AG23" s="409" t="s">
        <v>41</v>
      </c>
      <c r="AH23" s="409">
        <v>44477</v>
      </c>
      <c r="AI23" s="409" t="s">
        <v>42</v>
      </c>
      <c r="AJ23" s="409">
        <v>44477</v>
      </c>
      <c r="AK23" s="409" t="s">
        <v>108</v>
      </c>
      <c r="AL23" s="61"/>
    </row>
    <row r="24" spans="1:42" ht="36.75" customHeight="1">
      <c r="A24" s="24">
        <v>1.2</v>
      </c>
      <c r="B24" s="50" t="s">
        <v>32</v>
      </c>
      <c r="C24" s="17" t="s">
        <v>109</v>
      </c>
      <c r="D24" s="17" t="s">
        <v>110</v>
      </c>
      <c r="E24" s="442">
        <v>112</v>
      </c>
      <c r="F24" s="442">
        <v>80</v>
      </c>
      <c r="G24" s="442">
        <v>80</v>
      </c>
      <c r="H24" s="22">
        <v>1</v>
      </c>
      <c r="I24" s="22">
        <f t="shared" si="5"/>
        <v>414.81481481481484</v>
      </c>
      <c r="J24" s="22">
        <v>4000</v>
      </c>
      <c r="K24" s="4">
        <f t="shared" si="3"/>
        <v>4000</v>
      </c>
      <c r="L24" s="442" t="s">
        <v>35</v>
      </c>
      <c r="M24" s="442"/>
      <c r="N24" s="434" t="s">
        <v>36</v>
      </c>
      <c r="O24" s="434" t="s">
        <v>102</v>
      </c>
      <c r="P24" s="88">
        <v>44495</v>
      </c>
      <c r="Q24" s="443" t="s">
        <v>93</v>
      </c>
      <c r="R24" s="429">
        <v>44515</v>
      </c>
      <c r="S24" s="428" t="s">
        <v>94</v>
      </c>
      <c r="T24" s="430" t="s">
        <v>79</v>
      </c>
      <c r="U24" s="440" t="s">
        <v>38</v>
      </c>
      <c r="V24" s="47" t="s">
        <v>80</v>
      </c>
      <c r="W24" s="432" t="s">
        <v>80</v>
      </c>
      <c r="X24" s="433" t="s">
        <v>38</v>
      </c>
      <c r="Y24" s="433" t="s">
        <v>38</v>
      </c>
      <c r="Z24" s="100">
        <v>44598</v>
      </c>
      <c r="AA24" s="434" t="s">
        <v>38</v>
      </c>
      <c r="AB24" s="409" t="s">
        <v>52</v>
      </c>
      <c r="AC24" s="435">
        <v>44927</v>
      </c>
      <c r="AD24" s="409" t="s">
        <v>40</v>
      </c>
      <c r="AE24" s="409" t="str">
        <f t="shared" si="1"/>
        <v>FY22 inter</v>
      </c>
      <c r="AF24" s="409" t="str">
        <f t="shared" si="2"/>
        <v>FY23 intra</v>
      </c>
      <c r="AG24" s="409" t="s">
        <v>41</v>
      </c>
      <c r="AH24" s="409">
        <v>44477</v>
      </c>
      <c r="AI24" s="409" t="s">
        <v>42</v>
      </c>
      <c r="AJ24" s="409">
        <v>44477</v>
      </c>
      <c r="AK24" s="409" t="s">
        <v>111</v>
      </c>
      <c r="AL24" s="61"/>
    </row>
    <row r="25" spans="1:42" ht="27.75" customHeight="1">
      <c r="A25" s="24">
        <v>1.2</v>
      </c>
      <c r="B25" s="50" t="s">
        <v>32</v>
      </c>
      <c r="C25" s="17" t="s">
        <v>112</v>
      </c>
      <c r="D25" s="17" t="s">
        <v>113</v>
      </c>
      <c r="E25" s="442">
        <v>140</v>
      </c>
      <c r="F25" s="442">
        <v>96</v>
      </c>
      <c r="G25" s="442">
        <v>95</v>
      </c>
      <c r="H25" s="22">
        <v>1</v>
      </c>
      <c r="I25" s="22">
        <f t="shared" si="5"/>
        <v>738.88888888888891</v>
      </c>
      <c r="J25" s="22">
        <v>12500</v>
      </c>
      <c r="K25" s="4">
        <f t="shared" si="3"/>
        <v>12500</v>
      </c>
      <c r="L25" s="442" t="s">
        <v>35</v>
      </c>
      <c r="M25" s="442"/>
      <c r="N25" s="434" t="s">
        <v>36</v>
      </c>
      <c r="O25" s="434">
        <f>R25-P25</f>
        <v>7</v>
      </c>
      <c r="P25" s="426">
        <v>44508</v>
      </c>
      <c r="Q25" s="443" t="s">
        <v>93</v>
      </c>
      <c r="R25" s="429">
        <v>44515</v>
      </c>
      <c r="S25" s="428" t="s">
        <v>94</v>
      </c>
      <c r="T25" s="430" t="s">
        <v>79</v>
      </c>
      <c r="U25" s="440" t="s">
        <v>38</v>
      </c>
      <c r="V25" s="47" t="s">
        <v>80</v>
      </c>
      <c r="W25" s="432" t="s">
        <v>80</v>
      </c>
      <c r="X25" s="433" t="s">
        <v>38</v>
      </c>
      <c r="Y25" s="433" t="s">
        <v>38</v>
      </c>
      <c r="Z25" s="100">
        <v>44598</v>
      </c>
      <c r="AA25" s="434" t="s">
        <v>38</v>
      </c>
      <c r="AB25" s="409" t="s">
        <v>52</v>
      </c>
      <c r="AC25" s="435">
        <v>44927</v>
      </c>
      <c r="AD25" s="409" t="s">
        <v>40</v>
      </c>
      <c r="AE25" s="409" t="str">
        <f t="shared" si="1"/>
        <v>FY22 inter</v>
      </c>
      <c r="AF25" s="409" t="str">
        <f t="shared" si="2"/>
        <v>FY23 intra</v>
      </c>
      <c r="AG25" s="409" t="s">
        <v>41</v>
      </c>
      <c r="AH25" s="409">
        <v>44477</v>
      </c>
      <c r="AI25" s="409" t="s">
        <v>42</v>
      </c>
      <c r="AJ25" s="409">
        <v>44477</v>
      </c>
      <c r="AK25" s="409" t="s">
        <v>114</v>
      </c>
      <c r="AL25" s="61"/>
    </row>
    <row r="26" spans="1:42" s="13" customFormat="1" ht="51">
      <c r="A26" s="24">
        <v>1.2</v>
      </c>
      <c r="B26" s="50" t="s">
        <v>32</v>
      </c>
      <c r="C26" s="17" t="s">
        <v>115</v>
      </c>
      <c r="D26" s="17" t="s">
        <v>116</v>
      </c>
      <c r="E26" s="22">
        <v>96</v>
      </c>
      <c r="F26" s="22">
        <v>48</v>
      </c>
      <c r="G26" s="22">
        <v>48</v>
      </c>
      <c r="H26" s="22">
        <v>1</v>
      </c>
      <c r="I26" s="22">
        <f t="shared" si="5"/>
        <v>128</v>
      </c>
      <c r="J26" s="22">
        <v>3000</v>
      </c>
      <c r="K26" s="4">
        <f t="shared" si="3"/>
        <v>3000</v>
      </c>
      <c r="L26" s="442" t="s">
        <v>92</v>
      </c>
      <c r="M26" s="442" t="s">
        <v>117</v>
      </c>
      <c r="N26" s="434" t="s">
        <v>36</v>
      </c>
      <c r="O26" s="434">
        <f t="shared" ref="O26:O84" si="7">R26-P26</f>
        <v>381</v>
      </c>
      <c r="P26" s="88">
        <v>44301</v>
      </c>
      <c r="Q26" s="443" t="s">
        <v>93</v>
      </c>
      <c r="R26" s="429">
        <v>44682</v>
      </c>
      <c r="S26" s="428" t="s">
        <v>51</v>
      </c>
      <c r="T26" s="430" t="s">
        <v>118</v>
      </c>
      <c r="U26" s="440" t="s">
        <v>38</v>
      </c>
      <c r="V26" s="431" t="s">
        <v>119</v>
      </c>
      <c r="W26" s="432" t="s">
        <v>120</v>
      </c>
      <c r="X26" s="433" t="s">
        <v>38</v>
      </c>
      <c r="Y26" s="433" t="s">
        <v>121</v>
      </c>
      <c r="Z26" s="426">
        <v>44866</v>
      </c>
      <c r="AA26" s="434" t="s">
        <v>38</v>
      </c>
      <c r="AB26" s="434" t="s">
        <v>95</v>
      </c>
      <c r="AC26" s="426">
        <v>44896</v>
      </c>
      <c r="AD26" s="444" t="s">
        <v>40</v>
      </c>
      <c r="AE26" s="409" t="str">
        <f t="shared" si="1"/>
        <v>FY23 inter</v>
      </c>
      <c r="AF26" s="409" t="str">
        <f t="shared" si="2"/>
        <v>FY23 intra</v>
      </c>
      <c r="AG26" s="409" t="s">
        <v>41</v>
      </c>
      <c r="AH26" s="409">
        <v>44477</v>
      </c>
      <c r="AI26" s="409" t="s">
        <v>42</v>
      </c>
      <c r="AJ26" s="409">
        <v>44477</v>
      </c>
      <c r="AK26" s="444" t="s">
        <v>122</v>
      </c>
      <c r="AL26" s="65"/>
    </row>
    <row r="27" spans="1:42" ht="33.950000000000003">
      <c r="A27" s="35">
        <v>1.4</v>
      </c>
      <c r="B27" s="51" t="s">
        <v>123</v>
      </c>
      <c r="C27" s="21" t="s">
        <v>124</v>
      </c>
      <c r="D27" s="20" t="s">
        <v>125</v>
      </c>
      <c r="E27" s="36">
        <v>96</v>
      </c>
      <c r="F27" s="36">
        <v>48</v>
      </c>
      <c r="G27" s="36">
        <v>48</v>
      </c>
      <c r="H27" s="23">
        <v>1</v>
      </c>
      <c r="I27" s="22">
        <f t="shared" si="5"/>
        <v>128</v>
      </c>
      <c r="J27" s="22">
        <v>600</v>
      </c>
      <c r="K27" s="4">
        <f t="shared" si="3"/>
        <v>600</v>
      </c>
      <c r="L27" s="36" t="s">
        <v>92</v>
      </c>
      <c r="M27" s="8" t="s">
        <v>117</v>
      </c>
      <c r="N27" s="427" t="s">
        <v>36</v>
      </c>
      <c r="O27" s="434">
        <f t="shared" si="7"/>
        <v>31</v>
      </c>
      <c r="P27" s="435">
        <v>45108</v>
      </c>
      <c r="Q27" s="98" t="s">
        <v>93</v>
      </c>
      <c r="R27" s="429">
        <v>45139</v>
      </c>
      <c r="S27" s="428" t="s">
        <v>51</v>
      </c>
      <c r="T27" s="430" t="s">
        <v>118</v>
      </c>
      <c r="U27" s="440" t="s">
        <v>38</v>
      </c>
      <c r="V27" s="431" t="s">
        <v>119</v>
      </c>
      <c r="W27" s="432" t="s">
        <v>120</v>
      </c>
      <c r="X27" s="433" t="s">
        <v>38</v>
      </c>
      <c r="Y27" s="433" t="s">
        <v>121</v>
      </c>
      <c r="Z27" s="435">
        <v>45231</v>
      </c>
      <c r="AA27" s="434" t="s">
        <v>38</v>
      </c>
      <c r="AB27" s="409" t="s">
        <v>95</v>
      </c>
      <c r="AC27" s="435">
        <v>45261</v>
      </c>
      <c r="AD27" s="409" t="s">
        <v>40</v>
      </c>
      <c r="AE27" s="409" t="str">
        <f t="shared" si="1"/>
        <v>FY24 inter</v>
      </c>
      <c r="AF27" s="409" t="str">
        <f t="shared" si="2"/>
        <v>FY24 intra</v>
      </c>
      <c r="AG27" s="409" t="s">
        <v>126</v>
      </c>
      <c r="AH27" s="409">
        <v>44481</v>
      </c>
      <c r="AI27" s="409" t="s">
        <v>127</v>
      </c>
      <c r="AJ27" s="409">
        <v>44481</v>
      </c>
      <c r="AK27" s="409"/>
      <c r="AL27" s="409"/>
    </row>
    <row r="28" spans="1:42" ht="33.75" customHeight="1">
      <c r="A28" s="35">
        <v>1.4</v>
      </c>
      <c r="B28" s="51" t="s">
        <v>123</v>
      </c>
      <c r="C28" s="21" t="s">
        <v>128</v>
      </c>
      <c r="D28" s="3" t="s">
        <v>129</v>
      </c>
      <c r="E28" s="36">
        <v>96</v>
      </c>
      <c r="F28" s="36">
        <v>48</v>
      </c>
      <c r="G28" s="36">
        <v>48</v>
      </c>
      <c r="H28" s="23">
        <v>1</v>
      </c>
      <c r="I28" s="22">
        <f t="shared" si="5"/>
        <v>128</v>
      </c>
      <c r="J28" s="22">
        <v>1200</v>
      </c>
      <c r="K28" s="4">
        <f t="shared" si="3"/>
        <v>1200</v>
      </c>
      <c r="L28" s="36" t="s">
        <v>92</v>
      </c>
      <c r="M28" s="8" t="s">
        <v>130</v>
      </c>
      <c r="N28" s="427" t="s">
        <v>36</v>
      </c>
      <c r="O28" s="434">
        <f t="shared" si="7"/>
        <v>61</v>
      </c>
      <c r="P28" s="435">
        <v>45078</v>
      </c>
      <c r="Q28" s="98" t="s">
        <v>93</v>
      </c>
      <c r="R28" s="429">
        <v>45139</v>
      </c>
      <c r="S28" s="428" t="s">
        <v>51</v>
      </c>
      <c r="T28" s="430" t="s">
        <v>118</v>
      </c>
      <c r="U28" s="440" t="s">
        <v>38</v>
      </c>
      <c r="V28" s="431" t="s">
        <v>119</v>
      </c>
      <c r="W28" s="432" t="s">
        <v>120</v>
      </c>
      <c r="X28" s="433" t="s">
        <v>38</v>
      </c>
      <c r="Y28" s="433" t="s">
        <v>121</v>
      </c>
      <c r="Z28" s="435">
        <v>45231</v>
      </c>
      <c r="AA28" s="434" t="s">
        <v>38</v>
      </c>
      <c r="AB28" s="427" t="s">
        <v>95</v>
      </c>
      <c r="AC28" s="435">
        <v>45261</v>
      </c>
      <c r="AD28" s="409" t="s">
        <v>40</v>
      </c>
      <c r="AE28" s="409" t="str">
        <f t="shared" si="1"/>
        <v>FY24 inter</v>
      </c>
      <c r="AF28" s="409" t="str">
        <f t="shared" si="2"/>
        <v>FY24 intra</v>
      </c>
      <c r="AG28" s="409" t="s">
        <v>126</v>
      </c>
      <c r="AH28" s="409">
        <v>44481</v>
      </c>
      <c r="AI28" s="409" t="s">
        <v>127</v>
      </c>
      <c r="AJ28" s="409">
        <v>44481</v>
      </c>
      <c r="AK28" s="409" t="s">
        <v>131</v>
      </c>
      <c r="AL28" s="409"/>
    </row>
    <row r="29" spans="1:42" s="27" customFormat="1" ht="33.950000000000003">
      <c r="A29" s="10">
        <v>1.2</v>
      </c>
      <c r="B29" s="50" t="s">
        <v>32</v>
      </c>
      <c r="C29" s="14" t="s">
        <v>132</v>
      </c>
      <c r="D29" s="14" t="s">
        <v>133</v>
      </c>
      <c r="E29" s="4">
        <v>96</v>
      </c>
      <c r="F29" s="4">
        <v>48</v>
      </c>
      <c r="G29" s="4">
        <v>48</v>
      </c>
      <c r="H29" s="4">
        <v>1</v>
      </c>
      <c r="I29" s="22">
        <f t="shared" si="5"/>
        <v>128</v>
      </c>
      <c r="J29" s="22">
        <v>1200</v>
      </c>
      <c r="K29" s="4">
        <f t="shared" si="3"/>
        <v>1200</v>
      </c>
      <c r="L29" s="4" t="s">
        <v>92</v>
      </c>
      <c r="M29" s="4" t="s">
        <v>117</v>
      </c>
      <c r="N29" s="10" t="s">
        <v>36</v>
      </c>
      <c r="O29" s="434">
        <f t="shared" si="7"/>
        <v>381</v>
      </c>
      <c r="P29" s="88">
        <v>44301</v>
      </c>
      <c r="Q29" s="98" t="s">
        <v>93</v>
      </c>
      <c r="R29" s="95">
        <v>44682</v>
      </c>
      <c r="S29" s="99" t="s">
        <v>94</v>
      </c>
      <c r="T29" s="430" t="s">
        <v>118</v>
      </c>
      <c r="U29" s="440" t="s">
        <v>38</v>
      </c>
      <c r="V29" s="431" t="s">
        <v>119</v>
      </c>
      <c r="W29" s="432" t="s">
        <v>120</v>
      </c>
      <c r="X29" s="79" t="s">
        <v>38</v>
      </c>
      <c r="Y29" s="433" t="s">
        <v>121</v>
      </c>
      <c r="Z29" s="426">
        <v>44866</v>
      </c>
      <c r="AA29" s="434" t="s">
        <v>38</v>
      </c>
      <c r="AB29" s="10" t="s">
        <v>134</v>
      </c>
      <c r="AC29" s="78">
        <v>44896</v>
      </c>
      <c r="AD29" s="26" t="s">
        <v>40</v>
      </c>
      <c r="AE29" s="409" t="str">
        <f t="shared" si="1"/>
        <v>FY23 inter</v>
      </c>
      <c r="AF29" s="409" t="str">
        <f t="shared" si="2"/>
        <v>FY23 intra</v>
      </c>
      <c r="AG29" s="409" t="s">
        <v>41</v>
      </c>
      <c r="AH29" s="409">
        <v>44477</v>
      </c>
      <c r="AI29" s="409" t="s">
        <v>42</v>
      </c>
      <c r="AJ29" s="409">
        <v>44477</v>
      </c>
      <c r="AK29" s="66"/>
      <c r="AL29" s="66"/>
    </row>
    <row r="30" spans="1:42" s="27" customFormat="1" ht="33.950000000000003">
      <c r="A30" s="10">
        <v>1.2</v>
      </c>
      <c r="B30" s="50" t="s">
        <v>32</v>
      </c>
      <c r="C30" s="14" t="s">
        <v>135</v>
      </c>
      <c r="D30" s="14" t="s">
        <v>136</v>
      </c>
      <c r="E30" s="4">
        <v>96</v>
      </c>
      <c r="F30" s="4">
        <v>48</v>
      </c>
      <c r="G30" s="4">
        <v>48</v>
      </c>
      <c r="H30" s="4">
        <v>1</v>
      </c>
      <c r="I30" s="22">
        <f t="shared" si="5"/>
        <v>128</v>
      </c>
      <c r="J30" s="22">
        <v>1200</v>
      </c>
      <c r="K30" s="4">
        <f t="shared" si="3"/>
        <v>1200</v>
      </c>
      <c r="L30" s="4" t="s">
        <v>92</v>
      </c>
      <c r="M30" s="4"/>
      <c r="N30" s="10" t="s">
        <v>36</v>
      </c>
      <c r="O30" s="434">
        <f t="shared" si="7"/>
        <v>381</v>
      </c>
      <c r="P30" s="88">
        <v>44301</v>
      </c>
      <c r="Q30" s="98" t="s">
        <v>93</v>
      </c>
      <c r="R30" s="95">
        <v>44682</v>
      </c>
      <c r="S30" s="99" t="s">
        <v>94</v>
      </c>
      <c r="T30" s="430" t="s">
        <v>118</v>
      </c>
      <c r="U30" s="440" t="s">
        <v>38</v>
      </c>
      <c r="V30" s="431" t="s">
        <v>119</v>
      </c>
      <c r="W30" s="432" t="s">
        <v>120</v>
      </c>
      <c r="X30" s="79" t="s">
        <v>38</v>
      </c>
      <c r="Y30" s="433" t="s">
        <v>121</v>
      </c>
      <c r="Z30" s="426">
        <v>44866</v>
      </c>
      <c r="AA30" s="434" t="s">
        <v>38</v>
      </c>
      <c r="AB30" s="26" t="s">
        <v>52</v>
      </c>
      <c r="AC30" s="78">
        <v>44896</v>
      </c>
      <c r="AD30" s="26" t="s">
        <v>40</v>
      </c>
      <c r="AE30" s="409" t="str">
        <f t="shared" si="1"/>
        <v>FY23 inter</v>
      </c>
      <c r="AF30" s="409" t="str">
        <f t="shared" si="2"/>
        <v>FY23 intra</v>
      </c>
      <c r="AG30" s="409" t="s">
        <v>41</v>
      </c>
      <c r="AH30" s="409">
        <v>44477</v>
      </c>
      <c r="AI30" s="409" t="s">
        <v>42</v>
      </c>
      <c r="AJ30" s="409">
        <v>44477</v>
      </c>
      <c r="AK30" s="66"/>
      <c r="AL30" s="66"/>
    </row>
    <row r="31" spans="1:42" ht="41.1" customHeight="1">
      <c r="A31" s="10">
        <v>1.2</v>
      </c>
      <c r="B31" s="50" t="s">
        <v>32</v>
      </c>
      <c r="C31" s="14" t="s">
        <v>137</v>
      </c>
      <c r="D31" s="14" t="s">
        <v>138</v>
      </c>
      <c r="E31" s="4">
        <v>92</v>
      </c>
      <c r="F31" s="4">
        <v>92</v>
      </c>
      <c r="G31" s="4">
        <v>71</v>
      </c>
      <c r="H31" s="4">
        <v>2</v>
      </c>
      <c r="I31" s="22">
        <f t="shared" si="5"/>
        <v>695.53703703703707</v>
      </c>
      <c r="J31" s="22">
        <v>4990</v>
      </c>
      <c r="K31" s="4">
        <f t="shared" si="3"/>
        <v>9980</v>
      </c>
      <c r="L31" s="441" t="s">
        <v>35</v>
      </c>
      <c r="M31" s="441"/>
      <c r="N31" s="427" t="s">
        <v>36</v>
      </c>
      <c r="O31" s="434">
        <f t="shared" si="7"/>
        <v>157</v>
      </c>
      <c r="P31" s="242">
        <v>44358</v>
      </c>
      <c r="Q31" s="428" t="s">
        <v>93</v>
      </c>
      <c r="R31" s="95">
        <v>44515</v>
      </c>
      <c r="S31" s="428" t="s">
        <v>51</v>
      </c>
      <c r="T31" s="430" t="s">
        <v>79</v>
      </c>
      <c r="U31" s="440" t="s">
        <v>38</v>
      </c>
      <c r="V31" s="431" t="s">
        <v>80</v>
      </c>
      <c r="W31" s="39" t="s">
        <v>80</v>
      </c>
      <c r="X31" s="433" t="s">
        <v>38</v>
      </c>
      <c r="Y31" s="433" t="s">
        <v>38</v>
      </c>
      <c r="Z31" s="100">
        <v>44598</v>
      </c>
      <c r="AA31" s="434" t="s">
        <v>38</v>
      </c>
      <c r="AB31" s="409" t="s">
        <v>52</v>
      </c>
      <c r="AC31" s="435">
        <v>45261</v>
      </c>
      <c r="AD31" s="409" t="s">
        <v>40</v>
      </c>
      <c r="AE31" s="409" t="str">
        <f>IF(ISBLANK(Z31),"",IFERROR(LOOKUP(Z31,FY_dates, inter_label),Z31))</f>
        <v>FY22 inter</v>
      </c>
      <c r="AF31" s="409" t="str">
        <f t="shared" si="2"/>
        <v>FY24 intra</v>
      </c>
      <c r="AG31" s="409" t="s">
        <v>41</v>
      </c>
      <c r="AH31" s="409">
        <v>44477</v>
      </c>
      <c r="AI31" s="409" t="s">
        <v>42</v>
      </c>
      <c r="AJ31" s="409">
        <v>44477</v>
      </c>
      <c r="AK31" s="409"/>
      <c r="AL31" s="409"/>
    </row>
    <row r="32" spans="1:42" ht="33.950000000000003">
      <c r="A32" s="25">
        <v>1.2</v>
      </c>
      <c r="B32" s="48" t="s">
        <v>32</v>
      </c>
      <c r="C32" s="3" t="s">
        <v>139</v>
      </c>
      <c r="D32" s="3" t="s">
        <v>140</v>
      </c>
      <c r="E32" s="4">
        <v>88</v>
      </c>
      <c r="F32" s="4">
        <v>58</v>
      </c>
      <c r="G32" s="4">
        <v>97</v>
      </c>
      <c r="H32" s="23">
        <v>1</v>
      </c>
      <c r="I32" s="22">
        <f t="shared" si="5"/>
        <v>286.50925925925924</v>
      </c>
      <c r="J32" s="22">
        <v>2880</v>
      </c>
      <c r="K32" s="4">
        <f t="shared" si="3"/>
        <v>2880</v>
      </c>
      <c r="L32" s="23" t="s">
        <v>35</v>
      </c>
      <c r="M32" s="6"/>
      <c r="N32" s="427" t="s">
        <v>36</v>
      </c>
      <c r="O32" s="434">
        <f t="shared" si="7"/>
        <v>349</v>
      </c>
      <c r="P32" s="435">
        <v>44531</v>
      </c>
      <c r="Q32" s="443" t="s">
        <v>93</v>
      </c>
      <c r="R32" s="429">
        <v>44880</v>
      </c>
      <c r="S32" s="428" t="s">
        <v>51</v>
      </c>
      <c r="T32" s="430" t="s">
        <v>79</v>
      </c>
      <c r="U32" s="440" t="s">
        <v>38</v>
      </c>
      <c r="V32" s="431" t="s">
        <v>80</v>
      </c>
      <c r="W32" s="432" t="s">
        <v>80</v>
      </c>
      <c r="X32" s="433" t="s">
        <v>38</v>
      </c>
      <c r="Y32" s="433" t="s">
        <v>38</v>
      </c>
      <c r="Z32" s="435">
        <v>44963</v>
      </c>
      <c r="AA32" s="434" t="s">
        <v>38</v>
      </c>
      <c r="AB32" s="409" t="s">
        <v>52</v>
      </c>
      <c r="AC32" s="435">
        <v>45323</v>
      </c>
      <c r="AD32" s="409" t="s">
        <v>57</v>
      </c>
      <c r="AE32" s="409" t="str">
        <f t="shared" si="1"/>
        <v>FY23 inter</v>
      </c>
      <c r="AF32" s="409" t="str">
        <f t="shared" si="2"/>
        <v>FY24 intra</v>
      </c>
      <c r="AG32" s="409" t="s">
        <v>41</v>
      </c>
      <c r="AH32" s="409">
        <v>44477</v>
      </c>
      <c r="AI32" s="409" t="s">
        <v>42</v>
      </c>
      <c r="AJ32" s="409">
        <v>44477</v>
      </c>
      <c r="AK32" s="409" t="s">
        <v>141</v>
      </c>
      <c r="AL32" s="409"/>
    </row>
    <row r="33" spans="1:38" ht="17.100000000000001">
      <c r="A33" s="25">
        <v>1.2</v>
      </c>
      <c r="B33" s="48" t="s">
        <v>32</v>
      </c>
      <c r="C33" s="3" t="s">
        <v>142</v>
      </c>
      <c r="D33" s="3" t="s">
        <v>143</v>
      </c>
      <c r="E33" s="4">
        <v>84</v>
      </c>
      <c r="F33" s="4">
        <v>60</v>
      </c>
      <c r="G33" s="4">
        <v>48</v>
      </c>
      <c r="H33" s="23">
        <v>1</v>
      </c>
      <c r="I33" s="22">
        <f t="shared" si="5"/>
        <v>140</v>
      </c>
      <c r="J33" s="22">
        <v>3800</v>
      </c>
      <c r="K33" s="4">
        <f t="shared" si="3"/>
        <v>3800</v>
      </c>
      <c r="L33" s="23" t="s">
        <v>92</v>
      </c>
      <c r="M33" s="6"/>
      <c r="N33" s="427" t="s">
        <v>36</v>
      </c>
      <c r="O33" s="434">
        <f t="shared" si="7"/>
        <v>31</v>
      </c>
      <c r="P33" s="435">
        <v>44849</v>
      </c>
      <c r="Q33" s="443" t="s">
        <v>93</v>
      </c>
      <c r="R33" s="429">
        <v>44880</v>
      </c>
      <c r="S33" s="428" t="s">
        <v>51</v>
      </c>
      <c r="T33" s="430" t="s">
        <v>79</v>
      </c>
      <c r="U33" s="440" t="s">
        <v>38</v>
      </c>
      <c r="V33" s="431" t="s">
        <v>80</v>
      </c>
      <c r="W33" s="432" t="s">
        <v>80</v>
      </c>
      <c r="X33" s="433" t="s">
        <v>38</v>
      </c>
      <c r="Y33" s="433" t="s">
        <v>38</v>
      </c>
      <c r="Z33" s="435">
        <v>44963</v>
      </c>
      <c r="AA33" s="434" t="s">
        <v>38</v>
      </c>
      <c r="AB33" s="409" t="s">
        <v>52</v>
      </c>
      <c r="AC33" s="435">
        <v>45275</v>
      </c>
      <c r="AD33" s="409" t="s">
        <v>40</v>
      </c>
      <c r="AE33" s="409" t="str">
        <f t="shared" si="1"/>
        <v>FY23 inter</v>
      </c>
      <c r="AF33" s="409" t="str">
        <f t="shared" si="2"/>
        <v>FY24 intra</v>
      </c>
      <c r="AG33" s="409" t="s">
        <v>41</v>
      </c>
      <c r="AH33" s="409">
        <v>44477</v>
      </c>
      <c r="AI33" s="409" t="s">
        <v>42</v>
      </c>
      <c r="AJ33" s="409">
        <v>44477</v>
      </c>
      <c r="AK33" s="409" t="s">
        <v>144</v>
      </c>
      <c r="AL33" s="409"/>
    </row>
    <row r="34" spans="1:38" ht="61.5" customHeight="1">
      <c r="A34" s="25">
        <v>1.2</v>
      </c>
      <c r="B34" s="48" t="s">
        <v>123</v>
      </c>
      <c r="C34" s="3" t="s">
        <v>145</v>
      </c>
      <c r="D34" s="3" t="s">
        <v>146</v>
      </c>
      <c r="E34" s="23">
        <v>240</v>
      </c>
      <c r="F34" s="23">
        <v>96</v>
      </c>
      <c r="G34" s="23">
        <v>96</v>
      </c>
      <c r="H34" s="23">
        <v>1</v>
      </c>
      <c r="I34" s="22">
        <f t="shared" si="5"/>
        <v>1280</v>
      </c>
      <c r="J34" s="22">
        <v>12000</v>
      </c>
      <c r="K34" s="4">
        <f t="shared" si="3"/>
        <v>12000</v>
      </c>
      <c r="L34" s="445" t="s">
        <v>92</v>
      </c>
      <c r="M34" s="436"/>
      <c r="N34" s="427" t="s">
        <v>36</v>
      </c>
      <c r="O34" s="434">
        <f t="shared" si="7"/>
        <v>117</v>
      </c>
      <c r="P34" s="435">
        <v>44763</v>
      </c>
      <c r="Q34" s="443" t="s">
        <v>93</v>
      </c>
      <c r="R34" s="429">
        <v>44880</v>
      </c>
      <c r="S34" s="428" t="s">
        <v>51</v>
      </c>
      <c r="T34" s="431" t="s">
        <v>79</v>
      </c>
      <c r="U34" s="440" t="s">
        <v>38</v>
      </c>
      <c r="V34" s="431" t="s">
        <v>80</v>
      </c>
      <c r="W34" s="433" t="s">
        <v>80</v>
      </c>
      <c r="X34" s="433" t="s">
        <v>38</v>
      </c>
      <c r="Y34" s="433" t="s">
        <v>38</v>
      </c>
      <c r="Z34" s="426">
        <v>44963</v>
      </c>
      <c r="AA34" s="434" t="s">
        <v>38</v>
      </c>
      <c r="AB34" s="409" t="s">
        <v>52</v>
      </c>
      <c r="AC34" s="435">
        <v>45261</v>
      </c>
      <c r="AD34" s="409" t="s">
        <v>40</v>
      </c>
      <c r="AE34" s="409" t="str">
        <f t="shared" ref="AE34:AE67" si="8">IF(ISBLANK(Z34),"",IFERROR(LOOKUP(Z34,FY_dates, inter_label),Z34))</f>
        <v>FY23 inter</v>
      </c>
      <c r="AF34" s="409" t="str">
        <f t="shared" ref="AF34:AF67" si="9">IF(ISBLANK(AC34),"",IFERROR(LOOKUP(AC34,FY_dates, intra_label),AC34))</f>
        <v>FY24 intra</v>
      </c>
      <c r="AG34" s="409" t="s">
        <v>41</v>
      </c>
      <c r="AH34" s="409">
        <v>44477</v>
      </c>
      <c r="AI34" s="409" t="s">
        <v>42</v>
      </c>
      <c r="AJ34" s="409">
        <v>44477</v>
      </c>
      <c r="AK34" s="409" t="s">
        <v>147</v>
      </c>
      <c r="AL34" s="61"/>
    </row>
    <row r="35" spans="1:38" ht="17.100000000000001">
      <c r="A35" s="25">
        <v>1.2</v>
      </c>
      <c r="B35" s="48" t="s">
        <v>32</v>
      </c>
      <c r="C35" s="1" t="s">
        <v>148</v>
      </c>
      <c r="D35" s="3" t="s">
        <v>149</v>
      </c>
      <c r="E35" s="23">
        <v>72</v>
      </c>
      <c r="F35" s="23">
        <v>72</v>
      </c>
      <c r="G35" s="23">
        <v>72</v>
      </c>
      <c r="H35" s="23">
        <v>1</v>
      </c>
      <c r="I35" s="22">
        <f t="shared" si="5"/>
        <v>216</v>
      </c>
      <c r="J35" s="22">
        <v>3000</v>
      </c>
      <c r="K35" s="4">
        <f t="shared" si="3"/>
        <v>3000</v>
      </c>
      <c r="L35" s="23" t="s">
        <v>35</v>
      </c>
      <c r="M35" s="6"/>
      <c r="N35" s="427" t="s">
        <v>36</v>
      </c>
      <c r="O35" s="434">
        <f t="shared" si="7"/>
        <v>31</v>
      </c>
      <c r="P35" s="435">
        <v>44849</v>
      </c>
      <c r="Q35" s="443" t="s">
        <v>93</v>
      </c>
      <c r="R35" s="429">
        <v>44880</v>
      </c>
      <c r="S35" s="428" t="s">
        <v>51</v>
      </c>
      <c r="T35" s="431" t="s">
        <v>79</v>
      </c>
      <c r="U35" s="440" t="s">
        <v>38</v>
      </c>
      <c r="V35" s="431" t="s">
        <v>80</v>
      </c>
      <c r="W35" s="433" t="s">
        <v>80</v>
      </c>
      <c r="X35" s="433" t="s">
        <v>38</v>
      </c>
      <c r="Y35" s="433" t="s">
        <v>38</v>
      </c>
      <c r="Z35" s="426">
        <v>45328</v>
      </c>
      <c r="AA35" s="434" t="s">
        <v>38</v>
      </c>
      <c r="AB35" s="409" t="s">
        <v>52</v>
      </c>
      <c r="AC35" s="435">
        <v>45334</v>
      </c>
      <c r="AD35" s="409" t="s">
        <v>57</v>
      </c>
      <c r="AE35" s="409" t="str">
        <f t="shared" si="8"/>
        <v>FY24 inter</v>
      </c>
      <c r="AF35" s="409" t="str">
        <f t="shared" si="9"/>
        <v>FY24 intra</v>
      </c>
      <c r="AG35" s="409" t="s">
        <v>41</v>
      </c>
      <c r="AH35" s="409">
        <v>44477</v>
      </c>
      <c r="AI35" s="409" t="s">
        <v>42</v>
      </c>
      <c r="AJ35" s="409">
        <v>44477</v>
      </c>
      <c r="AK35" s="409" t="s">
        <v>150</v>
      </c>
      <c r="AL35" s="409"/>
    </row>
    <row r="36" spans="1:38" ht="26.45" customHeight="1">
      <c r="A36" s="25">
        <v>1.2</v>
      </c>
      <c r="B36" s="446" t="s">
        <v>32</v>
      </c>
      <c r="C36" s="3" t="s">
        <v>151</v>
      </c>
      <c r="D36" s="3" t="s">
        <v>152</v>
      </c>
      <c r="E36" s="23">
        <v>83</v>
      </c>
      <c r="F36" s="23">
        <v>83</v>
      </c>
      <c r="G36" s="23">
        <v>61</v>
      </c>
      <c r="H36" s="23">
        <v>1</v>
      </c>
      <c r="I36" s="22">
        <f t="shared" si="5"/>
        <v>243.1880787037037</v>
      </c>
      <c r="J36" s="22">
        <v>6835</v>
      </c>
      <c r="K36" s="4">
        <f t="shared" si="3"/>
        <v>6835</v>
      </c>
      <c r="L36" s="23" t="s">
        <v>35</v>
      </c>
      <c r="M36" s="6"/>
      <c r="N36" s="427" t="s">
        <v>36</v>
      </c>
      <c r="O36" s="434">
        <f t="shared" si="7"/>
        <v>31</v>
      </c>
      <c r="P36" s="435">
        <v>44849</v>
      </c>
      <c r="Q36" s="443" t="s">
        <v>93</v>
      </c>
      <c r="R36" s="429">
        <v>44880</v>
      </c>
      <c r="S36" s="428" t="s">
        <v>51</v>
      </c>
      <c r="T36" s="431" t="s">
        <v>79</v>
      </c>
      <c r="U36" s="440" t="s">
        <v>38</v>
      </c>
      <c r="V36" s="431" t="s">
        <v>80</v>
      </c>
      <c r="W36" s="433" t="s">
        <v>80</v>
      </c>
      <c r="X36" s="433" t="s">
        <v>38</v>
      </c>
      <c r="Y36" s="433" t="s">
        <v>38</v>
      </c>
      <c r="Z36" s="426">
        <v>45328</v>
      </c>
      <c r="AA36" s="434" t="s">
        <v>38</v>
      </c>
      <c r="AB36" s="409" t="s">
        <v>52</v>
      </c>
      <c r="AC36" s="435">
        <v>45334</v>
      </c>
      <c r="AD36" s="409" t="s">
        <v>57</v>
      </c>
      <c r="AE36" s="409" t="str">
        <f t="shared" si="8"/>
        <v>FY24 inter</v>
      </c>
      <c r="AF36" s="409" t="str">
        <f t="shared" si="9"/>
        <v>FY24 intra</v>
      </c>
      <c r="AG36" s="409" t="s">
        <v>41</v>
      </c>
      <c r="AH36" s="409">
        <v>44477</v>
      </c>
      <c r="AI36" s="409" t="s">
        <v>42</v>
      </c>
      <c r="AJ36" s="409">
        <v>44477</v>
      </c>
      <c r="AK36" s="409" t="s">
        <v>150</v>
      </c>
      <c r="AL36" s="409"/>
    </row>
    <row r="37" spans="1:38" ht="33.950000000000003">
      <c r="A37" s="25">
        <v>1.2</v>
      </c>
      <c r="B37" s="446" t="s">
        <v>32</v>
      </c>
      <c r="C37" s="3" t="s">
        <v>153</v>
      </c>
      <c r="D37" s="3" t="s">
        <v>154</v>
      </c>
      <c r="E37" s="4">
        <v>96</v>
      </c>
      <c r="F37" s="4">
        <v>48</v>
      </c>
      <c r="G37" s="4">
        <v>48</v>
      </c>
      <c r="H37" s="23">
        <v>1</v>
      </c>
      <c r="I37" s="22">
        <f t="shared" si="5"/>
        <v>128</v>
      </c>
      <c r="J37" s="22">
        <v>3000</v>
      </c>
      <c r="K37" s="4">
        <f t="shared" si="3"/>
        <v>3000</v>
      </c>
      <c r="L37" s="23" t="s">
        <v>92</v>
      </c>
      <c r="M37" s="6" t="s">
        <v>117</v>
      </c>
      <c r="N37" s="427" t="s">
        <v>36</v>
      </c>
      <c r="O37" s="434">
        <f t="shared" si="7"/>
        <v>31</v>
      </c>
      <c r="P37" s="435">
        <v>45108</v>
      </c>
      <c r="Q37" s="443" t="s">
        <v>93</v>
      </c>
      <c r="R37" s="429">
        <v>45139</v>
      </c>
      <c r="S37" s="428" t="s">
        <v>51</v>
      </c>
      <c r="T37" s="430" t="s">
        <v>118</v>
      </c>
      <c r="U37" s="440" t="s">
        <v>38</v>
      </c>
      <c r="V37" s="431" t="s">
        <v>119</v>
      </c>
      <c r="W37" s="432" t="s">
        <v>120</v>
      </c>
      <c r="X37" s="433" t="s">
        <v>38</v>
      </c>
      <c r="Y37" s="433" t="s">
        <v>121</v>
      </c>
      <c r="Z37" s="435">
        <v>45231</v>
      </c>
      <c r="AA37" s="434" t="s">
        <v>38</v>
      </c>
      <c r="AB37" s="409" t="s">
        <v>95</v>
      </c>
      <c r="AC37" s="435">
        <v>45245</v>
      </c>
      <c r="AD37" s="409" t="s">
        <v>40</v>
      </c>
      <c r="AE37" s="409" t="str">
        <f t="shared" si="8"/>
        <v>FY24 inter</v>
      </c>
      <c r="AF37" s="409" t="str">
        <f t="shared" si="9"/>
        <v>FY24 intra</v>
      </c>
      <c r="AG37" s="409" t="s">
        <v>41</v>
      </c>
      <c r="AH37" s="409">
        <v>44477</v>
      </c>
      <c r="AI37" s="409" t="s">
        <v>42</v>
      </c>
      <c r="AJ37" s="409">
        <v>44477</v>
      </c>
      <c r="AK37" s="409" t="s">
        <v>155</v>
      </c>
      <c r="AL37" s="409"/>
    </row>
    <row r="38" spans="1:38" ht="33.950000000000003">
      <c r="A38" s="25">
        <v>1.2</v>
      </c>
      <c r="B38" s="446" t="s">
        <v>32</v>
      </c>
      <c r="C38" s="3" t="s">
        <v>156</v>
      </c>
      <c r="D38" s="3" t="s">
        <v>157</v>
      </c>
      <c r="E38" s="4">
        <v>96</v>
      </c>
      <c r="F38" s="4">
        <v>86</v>
      </c>
      <c r="G38" s="4">
        <v>96</v>
      </c>
      <c r="H38" s="23">
        <v>1</v>
      </c>
      <c r="I38" s="22">
        <f t="shared" si="5"/>
        <v>458.66666666666669</v>
      </c>
      <c r="J38" s="22">
        <v>6500</v>
      </c>
      <c r="K38" s="4">
        <f t="shared" si="3"/>
        <v>6500</v>
      </c>
      <c r="L38" s="23" t="s">
        <v>92</v>
      </c>
      <c r="M38" s="6"/>
      <c r="N38" s="427" t="s">
        <v>36</v>
      </c>
      <c r="O38" s="434">
        <f t="shared" si="7"/>
        <v>31</v>
      </c>
      <c r="P38" s="435">
        <v>45108</v>
      </c>
      <c r="Q38" s="443" t="s">
        <v>93</v>
      </c>
      <c r="R38" s="429">
        <v>45139</v>
      </c>
      <c r="S38" s="428" t="s">
        <v>51</v>
      </c>
      <c r="T38" s="430" t="s">
        <v>118</v>
      </c>
      <c r="U38" s="440" t="s">
        <v>38</v>
      </c>
      <c r="V38" s="431" t="s">
        <v>119</v>
      </c>
      <c r="W38" s="432" t="s">
        <v>120</v>
      </c>
      <c r="X38" s="433" t="s">
        <v>38</v>
      </c>
      <c r="Y38" s="433" t="s">
        <v>121</v>
      </c>
      <c r="Z38" s="435">
        <v>45231</v>
      </c>
      <c r="AA38" s="434" t="s">
        <v>38</v>
      </c>
      <c r="AB38" s="409" t="s">
        <v>95</v>
      </c>
      <c r="AC38" s="435">
        <v>45245</v>
      </c>
      <c r="AD38" s="409" t="s">
        <v>40</v>
      </c>
      <c r="AE38" s="409" t="str">
        <f t="shared" si="8"/>
        <v>FY24 inter</v>
      </c>
      <c r="AF38" s="409" t="str">
        <f t="shared" si="9"/>
        <v>FY24 intra</v>
      </c>
      <c r="AG38" s="409" t="s">
        <v>41</v>
      </c>
      <c r="AH38" s="409">
        <v>44477</v>
      </c>
      <c r="AI38" s="409" t="s">
        <v>42</v>
      </c>
      <c r="AJ38" s="409">
        <v>44477</v>
      </c>
      <c r="AK38" s="409" t="s">
        <v>158</v>
      </c>
      <c r="AL38" s="409"/>
    </row>
    <row r="39" spans="1:38" ht="17.100000000000001">
      <c r="A39" s="25">
        <v>1.2</v>
      </c>
      <c r="B39" s="446" t="s">
        <v>32</v>
      </c>
      <c r="C39" s="3" t="s">
        <v>159</v>
      </c>
      <c r="D39" s="3" t="s">
        <v>160</v>
      </c>
      <c r="E39" s="23">
        <v>96</v>
      </c>
      <c r="F39" s="23">
        <v>48</v>
      </c>
      <c r="G39" s="23">
        <v>48</v>
      </c>
      <c r="H39" s="23">
        <v>1</v>
      </c>
      <c r="I39" s="22">
        <f t="shared" si="5"/>
        <v>128</v>
      </c>
      <c r="J39" s="22">
        <v>3000</v>
      </c>
      <c r="K39" s="4">
        <f t="shared" si="3"/>
        <v>3000</v>
      </c>
      <c r="L39" s="445" t="s">
        <v>92</v>
      </c>
      <c r="M39" s="436"/>
      <c r="N39" s="427" t="s">
        <v>36</v>
      </c>
      <c r="O39" s="434">
        <f t="shared" si="7"/>
        <v>31</v>
      </c>
      <c r="P39" s="435">
        <v>45108</v>
      </c>
      <c r="Q39" s="443" t="s">
        <v>93</v>
      </c>
      <c r="R39" s="429">
        <v>45139</v>
      </c>
      <c r="S39" s="428" t="s">
        <v>51</v>
      </c>
      <c r="T39" s="431" t="s">
        <v>118</v>
      </c>
      <c r="U39" s="440" t="s">
        <v>38</v>
      </c>
      <c r="V39" s="431" t="s">
        <v>161</v>
      </c>
      <c r="W39" s="433" t="s">
        <v>120</v>
      </c>
      <c r="X39" s="433" t="s">
        <v>38</v>
      </c>
      <c r="Y39" s="433" t="s">
        <v>121</v>
      </c>
      <c r="Z39" s="435">
        <v>45231</v>
      </c>
      <c r="AA39" s="434" t="s">
        <v>38</v>
      </c>
      <c r="AB39" s="427" t="s">
        <v>95</v>
      </c>
      <c r="AC39" s="435">
        <v>45245</v>
      </c>
      <c r="AD39" s="409" t="s">
        <v>40</v>
      </c>
      <c r="AE39" s="409" t="str">
        <f t="shared" si="8"/>
        <v>FY24 inter</v>
      </c>
      <c r="AF39" s="409" t="str">
        <f t="shared" si="9"/>
        <v>FY24 intra</v>
      </c>
      <c r="AG39" s="409" t="s">
        <v>41</v>
      </c>
      <c r="AH39" s="409">
        <v>44477</v>
      </c>
      <c r="AI39" s="409" t="s">
        <v>42</v>
      </c>
      <c r="AJ39" s="409">
        <v>44477</v>
      </c>
      <c r="AK39" s="409" t="s">
        <v>162</v>
      </c>
      <c r="AL39" s="409"/>
    </row>
    <row r="40" spans="1:38" ht="17.100000000000001">
      <c r="A40" s="25">
        <v>1.2</v>
      </c>
      <c r="B40" s="446" t="s">
        <v>32</v>
      </c>
      <c r="C40" s="18" t="s">
        <v>163</v>
      </c>
      <c r="D40" s="41" t="s">
        <v>164</v>
      </c>
      <c r="E40" s="23">
        <v>192</v>
      </c>
      <c r="F40" s="23">
        <v>24</v>
      </c>
      <c r="G40" s="23">
        <v>24</v>
      </c>
      <c r="H40" s="23">
        <v>1</v>
      </c>
      <c r="I40" s="22">
        <f t="shared" si="5"/>
        <v>64</v>
      </c>
      <c r="J40" s="22">
        <v>1060</v>
      </c>
      <c r="K40" s="4">
        <f t="shared" si="3"/>
        <v>1060</v>
      </c>
      <c r="L40" s="445" t="s">
        <v>35</v>
      </c>
      <c r="M40" s="436" t="s">
        <v>117</v>
      </c>
      <c r="N40" s="427" t="s">
        <v>36</v>
      </c>
      <c r="O40" s="434">
        <f t="shared" si="7"/>
        <v>440</v>
      </c>
      <c r="P40" s="242">
        <v>44440</v>
      </c>
      <c r="Q40" s="443" t="s">
        <v>93</v>
      </c>
      <c r="R40" s="429">
        <v>44880</v>
      </c>
      <c r="S40" s="428" t="s">
        <v>51</v>
      </c>
      <c r="T40" s="431" t="s">
        <v>79</v>
      </c>
      <c r="U40" s="440" t="s">
        <v>38</v>
      </c>
      <c r="V40" s="431" t="s">
        <v>80</v>
      </c>
      <c r="W40" s="433" t="s">
        <v>80</v>
      </c>
      <c r="X40" s="433" t="s">
        <v>38</v>
      </c>
      <c r="Y40" s="433" t="s">
        <v>38</v>
      </c>
      <c r="Z40" s="426">
        <v>44963</v>
      </c>
      <c r="AA40" s="434" t="s">
        <v>38</v>
      </c>
      <c r="AB40" s="427" t="s">
        <v>95</v>
      </c>
      <c r="AC40" s="435">
        <v>44969</v>
      </c>
      <c r="AD40" s="409" t="s">
        <v>40</v>
      </c>
      <c r="AE40" s="409" t="str">
        <f>IF(ISBLANK(Z40),"",IFERROR(LOOKUP(Z40,FY_dates, inter_label),Z40))</f>
        <v>FY23 inter</v>
      </c>
      <c r="AF40" s="409" t="str">
        <f t="shared" si="9"/>
        <v>FY23 intra</v>
      </c>
      <c r="AG40" s="409" t="s">
        <v>41</v>
      </c>
      <c r="AH40" s="409">
        <v>44477</v>
      </c>
      <c r="AI40" s="409" t="s">
        <v>42</v>
      </c>
      <c r="AJ40" s="409">
        <v>44477</v>
      </c>
      <c r="AK40" s="409" t="s">
        <v>165</v>
      </c>
      <c r="AL40" s="409"/>
    </row>
    <row r="41" spans="1:38" ht="17.100000000000001">
      <c r="A41" s="25">
        <v>1.2</v>
      </c>
      <c r="B41" s="446" t="s">
        <v>32</v>
      </c>
      <c r="C41" s="18" t="s">
        <v>166</v>
      </c>
      <c r="D41" s="41" t="s">
        <v>164</v>
      </c>
      <c r="E41" s="23">
        <v>192</v>
      </c>
      <c r="F41" s="23">
        <v>24</v>
      </c>
      <c r="G41" s="23">
        <v>24</v>
      </c>
      <c r="H41" s="23">
        <v>1</v>
      </c>
      <c r="I41" s="22">
        <f t="shared" si="5"/>
        <v>64</v>
      </c>
      <c r="J41" s="22">
        <v>1060</v>
      </c>
      <c r="K41" s="4">
        <f t="shared" si="3"/>
        <v>1060</v>
      </c>
      <c r="L41" s="445" t="s">
        <v>35</v>
      </c>
      <c r="M41" s="436" t="s">
        <v>117</v>
      </c>
      <c r="N41" s="427" t="s">
        <v>36</v>
      </c>
      <c r="O41" s="434">
        <f t="shared" si="7"/>
        <v>805</v>
      </c>
      <c r="P41" s="242">
        <v>44440</v>
      </c>
      <c r="Q41" s="443" t="s">
        <v>93</v>
      </c>
      <c r="R41" s="429">
        <v>45245</v>
      </c>
      <c r="S41" s="428" t="s">
        <v>51</v>
      </c>
      <c r="T41" s="431" t="s">
        <v>79</v>
      </c>
      <c r="U41" s="440" t="s">
        <v>38</v>
      </c>
      <c r="V41" s="431" t="s">
        <v>80</v>
      </c>
      <c r="W41" s="433" t="s">
        <v>80</v>
      </c>
      <c r="X41" s="433" t="s">
        <v>38</v>
      </c>
      <c r="Y41" s="433" t="s">
        <v>38</v>
      </c>
      <c r="Z41" s="426">
        <v>45328</v>
      </c>
      <c r="AA41" s="434" t="s">
        <v>38</v>
      </c>
      <c r="AB41" s="427" t="s">
        <v>95</v>
      </c>
      <c r="AC41" s="435">
        <v>45334</v>
      </c>
      <c r="AD41" s="409" t="s">
        <v>40</v>
      </c>
      <c r="AE41" s="409" t="str">
        <f t="shared" si="8"/>
        <v>FY24 inter</v>
      </c>
      <c r="AF41" s="409" t="str">
        <f t="shared" si="9"/>
        <v>FY24 intra</v>
      </c>
      <c r="AG41" s="409" t="s">
        <v>41</v>
      </c>
      <c r="AH41" s="409">
        <v>44477</v>
      </c>
      <c r="AI41" s="409" t="s">
        <v>42</v>
      </c>
      <c r="AJ41" s="409">
        <v>44477</v>
      </c>
      <c r="AK41" s="409"/>
      <c r="AL41" s="409"/>
    </row>
    <row r="42" spans="1:38" ht="17.100000000000001">
      <c r="A42" s="25">
        <v>1.2</v>
      </c>
      <c r="B42" s="446" t="s">
        <v>32</v>
      </c>
      <c r="C42" s="18" t="s">
        <v>167</v>
      </c>
      <c r="D42" s="41" t="s">
        <v>168</v>
      </c>
      <c r="E42" s="23">
        <v>192</v>
      </c>
      <c r="F42" s="23">
        <v>24</v>
      </c>
      <c r="G42" s="23">
        <v>24</v>
      </c>
      <c r="H42" s="23">
        <v>1</v>
      </c>
      <c r="I42" s="22">
        <f t="shared" si="5"/>
        <v>64</v>
      </c>
      <c r="J42" s="22">
        <v>1060</v>
      </c>
      <c r="K42" s="4">
        <f t="shared" si="3"/>
        <v>1060</v>
      </c>
      <c r="L42" s="445" t="s">
        <v>35</v>
      </c>
      <c r="M42" s="436" t="s">
        <v>117</v>
      </c>
      <c r="N42" s="427" t="s">
        <v>36</v>
      </c>
      <c r="O42" s="434">
        <f t="shared" si="7"/>
        <v>805</v>
      </c>
      <c r="P42" s="242">
        <v>44440</v>
      </c>
      <c r="Q42" s="443" t="s">
        <v>93</v>
      </c>
      <c r="R42" s="429">
        <v>45245</v>
      </c>
      <c r="S42" s="428" t="s">
        <v>51</v>
      </c>
      <c r="T42" s="431" t="s">
        <v>79</v>
      </c>
      <c r="U42" s="440" t="s">
        <v>38</v>
      </c>
      <c r="V42" s="431" t="s">
        <v>80</v>
      </c>
      <c r="W42" s="433" t="s">
        <v>80</v>
      </c>
      <c r="X42" s="433" t="s">
        <v>38</v>
      </c>
      <c r="Y42" s="433" t="s">
        <v>38</v>
      </c>
      <c r="Z42" s="426">
        <v>45328</v>
      </c>
      <c r="AA42" s="434" t="s">
        <v>38</v>
      </c>
      <c r="AB42" s="427" t="s">
        <v>95</v>
      </c>
      <c r="AC42" s="435">
        <v>45334</v>
      </c>
      <c r="AD42" s="409" t="s">
        <v>40</v>
      </c>
      <c r="AE42" s="409" t="str">
        <f t="shared" si="8"/>
        <v>FY24 inter</v>
      </c>
      <c r="AF42" s="409" t="str">
        <f t="shared" si="9"/>
        <v>FY24 intra</v>
      </c>
      <c r="AG42" s="409" t="s">
        <v>41</v>
      </c>
      <c r="AH42" s="409">
        <v>44477</v>
      </c>
      <c r="AI42" s="409" t="s">
        <v>42</v>
      </c>
      <c r="AJ42" s="409">
        <v>44477</v>
      </c>
      <c r="AK42" s="409"/>
      <c r="AL42" s="409"/>
    </row>
    <row r="43" spans="1:38" ht="34.5" customHeight="1">
      <c r="A43" s="25">
        <v>1.2</v>
      </c>
      <c r="B43" s="446" t="s">
        <v>32</v>
      </c>
      <c r="C43" s="3" t="s">
        <v>153</v>
      </c>
      <c r="D43" s="3" t="s">
        <v>169</v>
      </c>
      <c r="E43" s="4">
        <v>96</v>
      </c>
      <c r="F43" s="4">
        <v>48</v>
      </c>
      <c r="G43" s="4">
        <v>48</v>
      </c>
      <c r="H43" s="23">
        <v>1</v>
      </c>
      <c r="I43" s="22">
        <f t="shared" si="5"/>
        <v>128</v>
      </c>
      <c r="J43" s="22">
        <v>3000</v>
      </c>
      <c r="K43" s="4">
        <f t="shared" si="3"/>
        <v>3000</v>
      </c>
      <c r="L43" s="23" t="s">
        <v>92</v>
      </c>
      <c r="M43" s="6" t="s">
        <v>117</v>
      </c>
      <c r="N43" s="427" t="s">
        <v>36</v>
      </c>
      <c r="O43" s="434">
        <f t="shared" si="7"/>
        <v>31</v>
      </c>
      <c r="P43" s="435">
        <v>45474</v>
      </c>
      <c r="Q43" s="443" t="s">
        <v>93</v>
      </c>
      <c r="R43" s="429">
        <v>45505</v>
      </c>
      <c r="S43" s="428" t="s">
        <v>51</v>
      </c>
      <c r="T43" s="430" t="s">
        <v>118</v>
      </c>
      <c r="U43" s="440" t="s">
        <v>38</v>
      </c>
      <c r="V43" s="431" t="s">
        <v>119</v>
      </c>
      <c r="W43" s="432" t="s">
        <v>120</v>
      </c>
      <c r="X43" s="433" t="s">
        <v>38</v>
      </c>
      <c r="Y43" s="433" t="s">
        <v>121</v>
      </c>
      <c r="Z43" s="435">
        <v>45597</v>
      </c>
      <c r="AA43" s="434" t="s">
        <v>38</v>
      </c>
      <c r="AB43" s="409" t="s">
        <v>95</v>
      </c>
      <c r="AC43" s="435">
        <v>45611</v>
      </c>
      <c r="AD43" s="409" t="s">
        <v>40</v>
      </c>
      <c r="AE43" s="409" t="str">
        <f t="shared" si="8"/>
        <v>FY25 inter</v>
      </c>
      <c r="AF43" s="409" t="str">
        <f t="shared" si="9"/>
        <v>FY25 intra</v>
      </c>
      <c r="AG43" s="409" t="s">
        <v>41</v>
      </c>
      <c r="AH43" s="409">
        <v>44477</v>
      </c>
      <c r="AI43" s="409" t="s">
        <v>42</v>
      </c>
      <c r="AJ43" s="409">
        <v>44477</v>
      </c>
      <c r="AK43" s="409"/>
      <c r="AL43" s="409"/>
    </row>
    <row r="44" spans="1:38" ht="31.5" customHeight="1">
      <c r="A44" s="67">
        <v>1.2</v>
      </c>
      <c r="B44" s="68" t="s">
        <v>123</v>
      </c>
      <c r="C44" s="19" t="s">
        <v>170</v>
      </c>
      <c r="D44" s="19" t="s">
        <v>171</v>
      </c>
      <c r="E44" s="69">
        <v>96</v>
      </c>
      <c r="F44" s="69">
        <v>48</v>
      </c>
      <c r="G44" s="69">
        <v>48</v>
      </c>
      <c r="H44" s="23">
        <v>7</v>
      </c>
      <c r="I44" s="22">
        <f t="shared" si="5"/>
        <v>896</v>
      </c>
      <c r="J44" s="22">
        <v>1000</v>
      </c>
      <c r="K44" s="4">
        <f t="shared" si="3"/>
        <v>7000</v>
      </c>
      <c r="L44" s="447" t="s">
        <v>92</v>
      </c>
      <c r="M44" s="7"/>
      <c r="N44" s="427" t="s">
        <v>36</v>
      </c>
      <c r="O44" s="434">
        <f t="shared" si="7"/>
        <v>123</v>
      </c>
      <c r="P44" s="435">
        <v>45122</v>
      </c>
      <c r="Q44" s="443" t="s">
        <v>93</v>
      </c>
      <c r="R44" s="429">
        <v>45245</v>
      </c>
      <c r="S44" s="428" t="s">
        <v>51</v>
      </c>
      <c r="T44" s="430" t="s">
        <v>79</v>
      </c>
      <c r="U44" s="440" t="s">
        <v>38</v>
      </c>
      <c r="V44" s="431" t="s">
        <v>80</v>
      </c>
      <c r="W44" s="433" t="s">
        <v>80</v>
      </c>
      <c r="X44" s="433" t="s">
        <v>38</v>
      </c>
      <c r="Y44" s="433" t="s">
        <v>38</v>
      </c>
      <c r="Z44" s="426">
        <v>45328</v>
      </c>
      <c r="AA44" s="434" t="s">
        <v>38</v>
      </c>
      <c r="AB44" s="427" t="s">
        <v>95</v>
      </c>
      <c r="AC44" s="435">
        <v>45337</v>
      </c>
      <c r="AD44" s="409" t="s">
        <v>40</v>
      </c>
      <c r="AE44" s="409" t="str">
        <f t="shared" si="8"/>
        <v>FY24 inter</v>
      </c>
      <c r="AF44" s="409" t="str">
        <f t="shared" si="9"/>
        <v>FY24 intra</v>
      </c>
      <c r="AG44" s="409" t="s">
        <v>127</v>
      </c>
      <c r="AH44" s="409">
        <v>44461</v>
      </c>
      <c r="AI44" s="409" t="s">
        <v>42</v>
      </c>
      <c r="AJ44" s="409">
        <v>44461</v>
      </c>
      <c r="AK44" s="409"/>
      <c r="AL44" s="409"/>
    </row>
    <row r="45" spans="1:38" ht="32.450000000000003" customHeight="1">
      <c r="A45" s="67">
        <v>1.2</v>
      </c>
      <c r="B45" s="68" t="s">
        <v>123</v>
      </c>
      <c r="C45" s="19" t="s">
        <v>172</v>
      </c>
      <c r="D45" s="19" t="s">
        <v>173</v>
      </c>
      <c r="E45" s="69">
        <v>36</v>
      </c>
      <c r="F45" s="69">
        <v>24</v>
      </c>
      <c r="G45" s="69">
        <v>24</v>
      </c>
      <c r="H45" s="23">
        <v>7</v>
      </c>
      <c r="I45" s="22">
        <f t="shared" si="5"/>
        <v>84</v>
      </c>
      <c r="J45" s="22">
        <v>785.71428571428567</v>
      </c>
      <c r="K45" s="4">
        <f t="shared" si="3"/>
        <v>5500</v>
      </c>
      <c r="L45" s="69" t="s">
        <v>92</v>
      </c>
      <c r="M45" s="7"/>
      <c r="N45" s="427" t="s">
        <v>36</v>
      </c>
      <c r="O45" s="434">
        <f t="shared" si="7"/>
        <v>123</v>
      </c>
      <c r="P45" s="435">
        <v>45122</v>
      </c>
      <c r="Q45" s="443" t="s">
        <v>93</v>
      </c>
      <c r="R45" s="429">
        <v>45245</v>
      </c>
      <c r="S45" s="428" t="s">
        <v>51</v>
      </c>
      <c r="T45" s="430" t="s">
        <v>79</v>
      </c>
      <c r="U45" s="440" t="s">
        <v>38</v>
      </c>
      <c r="V45" s="431" t="s">
        <v>80</v>
      </c>
      <c r="W45" s="433" t="s">
        <v>80</v>
      </c>
      <c r="X45" s="433" t="s">
        <v>38</v>
      </c>
      <c r="Y45" s="433" t="s">
        <v>38</v>
      </c>
      <c r="Z45" s="426">
        <v>45328</v>
      </c>
      <c r="AA45" s="434" t="s">
        <v>38</v>
      </c>
      <c r="AB45" s="427" t="s">
        <v>95</v>
      </c>
      <c r="AC45" s="435">
        <v>45337</v>
      </c>
      <c r="AD45" s="409" t="s">
        <v>40</v>
      </c>
      <c r="AE45" s="409" t="str">
        <f t="shared" si="8"/>
        <v>FY24 inter</v>
      </c>
      <c r="AF45" s="409" t="str">
        <f t="shared" si="9"/>
        <v>FY24 intra</v>
      </c>
      <c r="AG45" s="409" t="s">
        <v>127</v>
      </c>
      <c r="AH45" s="409">
        <v>44461</v>
      </c>
      <c r="AI45" s="409" t="s">
        <v>42</v>
      </c>
      <c r="AJ45" s="409">
        <v>44461</v>
      </c>
      <c r="AK45" s="409"/>
      <c r="AL45" s="409"/>
    </row>
    <row r="46" spans="1:38" ht="17.100000000000001">
      <c r="A46" s="25">
        <v>1.5</v>
      </c>
      <c r="B46" s="68" t="s">
        <v>123</v>
      </c>
      <c r="C46" s="3" t="s">
        <v>174</v>
      </c>
      <c r="D46" s="3" t="s">
        <v>175</v>
      </c>
      <c r="E46" s="23">
        <v>58</v>
      </c>
      <c r="F46" s="23">
        <v>38</v>
      </c>
      <c r="G46" s="445">
        <v>41</v>
      </c>
      <c r="H46" s="23">
        <v>1</v>
      </c>
      <c r="I46" s="22">
        <f t="shared" si="5"/>
        <v>52.293981481481481</v>
      </c>
      <c r="J46" s="22">
        <v>836</v>
      </c>
      <c r="K46" s="4">
        <f t="shared" si="3"/>
        <v>836</v>
      </c>
      <c r="L46" s="23" t="s">
        <v>92</v>
      </c>
      <c r="M46" s="6" t="s">
        <v>176</v>
      </c>
      <c r="N46" s="427" t="s">
        <v>36</v>
      </c>
      <c r="O46" s="434">
        <f t="shared" si="7"/>
        <v>244</v>
      </c>
      <c r="P46" s="435">
        <v>44895</v>
      </c>
      <c r="Q46" s="443" t="s">
        <v>93</v>
      </c>
      <c r="R46" s="429">
        <v>45139</v>
      </c>
      <c r="S46" s="428" t="s">
        <v>51</v>
      </c>
      <c r="T46" s="430" t="s">
        <v>118</v>
      </c>
      <c r="U46" s="440" t="s">
        <v>38</v>
      </c>
      <c r="V46" s="431" t="s">
        <v>119</v>
      </c>
      <c r="W46" s="433" t="s">
        <v>120</v>
      </c>
      <c r="X46" s="433" t="s">
        <v>38</v>
      </c>
      <c r="Y46" s="433" t="s">
        <v>121</v>
      </c>
      <c r="Z46" s="435">
        <v>45231</v>
      </c>
      <c r="AA46" s="434" t="s">
        <v>38</v>
      </c>
      <c r="AB46" s="409" t="s">
        <v>95</v>
      </c>
      <c r="AC46" s="435">
        <v>45275</v>
      </c>
      <c r="AD46" s="409" t="s">
        <v>40</v>
      </c>
      <c r="AE46" s="409" t="str">
        <f t="shared" si="8"/>
        <v>FY24 inter</v>
      </c>
      <c r="AF46" s="409" t="str">
        <f t="shared" si="9"/>
        <v>FY24 intra</v>
      </c>
      <c r="AG46" s="409" t="s">
        <v>177</v>
      </c>
      <c r="AH46" s="409">
        <v>44482</v>
      </c>
      <c r="AI46" s="409" t="s">
        <v>127</v>
      </c>
      <c r="AJ46" s="409">
        <v>44482</v>
      </c>
      <c r="AK46" s="409"/>
      <c r="AL46" s="409"/>
    </row>
    <row r="47" spans="1:38" ht="51">
      <c r="A47" s="448">
        <v>1.3</v>
      </c>
      <c r="B47" s="68" t="s">
        <v>123</v>
      </c>
      <c r="C47" s="3" t="s">
        <v>178</v>
      </c>
      <c r="D47" s="3" t="s">
        <v>179</v>
      </c>
      <c r="E47" s="23">
        <v>63</v>
      </c>
      <c r="F47" s="23">
        <v>40</v>
      </c>
      <c r="G47" s="23">
        <v>42</v>
      </c>
      <c r="H47" s="23">
        <v>1</v>
      </c>
      <c r="I47" s="22">
        <f t="shared" si="5"/>
        <v>61.25</v>
      </c>
      <c r="J47" s="22">
        <v>677</v>
      </c>
      <c r="K47" s="4">
        <f t="shared" si="3"/>
        <v>677</v>
      </c>
      <c r="L47" s="445" t="s">
        <v>180</v>
      </c>
      <c r="M47" s="6" t="s">
        <v>176</v>
      </c>
      <c r="N47" s="10" t="s">
        <v>181</v>
      </c>
      <c r="O47" s="434">
        <f t="shared" si="7"/>
        <v>212</v>
      </c>
      <c r="P47" s="435">
        <v>44927</v>
      </c>
      <c r="Q47" s="443" t="s">
        <v>93</v>
      </c>
      <c r="R47" s="429">
        <v>45139</v>
      </c>
      <c r="S47" s="428" t="s">
        <v>51</v>
      </c>
      <c r="T47" s="430" t="s">
        <v>118</v>
      </c>
      <c r="U47" s="440" t="s">
        <v>38</v>
      </c>
      <c r="V47" s="431" t="s">
        <v>119</v>
      </c>
      <c r="W47" s="433" t="s">
        <v>120</v>
      </c>
      <c r="X47" s="433" t="s">
        <v>38</v>
      </c>
      <c r="Y47" s="433" t="s">
        <v>121</v>
      </c>
      <c r="Z47" s="435">
        <v>45231</v>
      </c>
      <c r="AA47" s="434" t="s">
        <v>38</v>
      </c>
      <c r="AB47" s="427" t="s">
        <v>95</v>
      </c>
      <c r="AC47" s="435">
        <v>45275</v>
      </c>
      <c r="AD47" s="409" t="s">
        <v>40</v>
      </c>
      <c r="AE47" s="409" t="str">
        <f t="shared" si="8"/>
        <v>FY24 inter</v>
      </c>
      <c r="AF47" s="409" t="str">
        <f t="shared" si="9"/>
        <v>FY24 intra</v>
      </c>
      <c r="AG47" s="409" t="s">
        <v>182</v>
      </c>
      <c r="AH47" s="409">
        <v>44482</v>
      </c>
      <c r="AI47" s="409" t="s">
        <v>127</v>
      </c>
      <c r="AJ47" s="409">
        <v>44482</v>
      </c>
      <c r="AK47" s="409" t="s">
        <v>183</v>
      </c>
      <c r="AL47" s="409"/>
    </row>
    <row r="48" spans="1:38" ht="30" customHeight="1">
      <c r="A48" s="448">
        <v>1.2</v>
      </c>
      <c r="B48" s="68" t="s">
        <v>123</v>
      </c>
      <c r="C48" s="1" t="s">
        <v>184</v>
      </c>
      <c r="D48" s="1" t="s">
        <v>185</v>
      </c>
      <c r="E48" s="38">
        <v>48</v>
      </c>
      <c r="F48" s="38">
        <v>48</v>
      </c>
      <c r="G48" s="38">
        <v>48</v>
      </c>
      <c r="H48" s="23">
        <v>1</v>
      </c>
      <c r="I48" s="22">
        <f t="shared" si="5"/>
        <v>64</v>
      </c>
      <c r="J48" s="22">
        <v>1500</v>
      </c>
      <c r="K48" s="4">
        <f t="shared" si="3"/>
        <v>1500</v>
      </c>
      <c r="L48" s="449" t="s">
        <v>92</v>
      </c>
      <c r="M48" s="439" t="s">
        <v>117</v>
      </c>
      <c r="N48" s="427" t="s">
        <v>36</v>
      </c>
      <c r="O48" s="434">
        <f t="shared" si="7"/>
        <v>61</v>
      </c>
      <c r="P48" s="435">
        <v>45078</v>
      </c>
      <c r="Q48" s="428" t="s">
        <v>93</v>
      </c>
      <c r="R48" s="429">
        <v>45139</v>
      </c>
      <c r="S48" s="428" t="s">
        <v>51</v>
      </c>
      <c r="T48" s="430" t="s">
        <v>118</v>
      </c>
      <c r="U48" s="440" t="s">
        <v>38</v>
      </c>
      <c r="V48" s="431" t="s">
        <v>119</v>
      </c>
      <c r="W48" s="433" t="s">
        <v>120</v>
      </c>
      <c r="X48" s="433" t="s">
        <v>38</v>
      </c>
      <c r="Y48" s="433" t="s">
        <v>121</v>
      </c>
      <c r="Z48" s="435">
        <v>45231</v>
      </c>
      <c r="AA48" s="434" t="s">
        <v>38</v>
      </c>
      <c r="AB48" s="427" t="s">
        <v>95</v>
      </c>
      <c r="AC48" s="435">
        <v>45261</v>
      </c>
      <c r="AD48" s="409" t="s">
        <v>40</v>
      </c>
      <c r="AE48" s="409" t="str">
        <f t="shared" si="8"/>
        <v>FY24 inter</v>
      </c>
      <c r="AF48" s="409" t="str">
        <f t="shared" si="9"/>
        <v>FY24 intra</v>
      </c>
      <c r="AG48" s="409" t="s">
        <v>186</v>
      </c>
      <c r="AH48" s="409">
        <v>44477</v>
      </c>
      <c r="AI48" s="409" t="s">
        <v>127</v>
      </c>
      <c r="AJ48" s="409">
        <v>44477</v>
      </c>
      <c r="AK48" s="409"/>
      <c r="AL48" s="409"/>
    </row>
    <row r="49" spans="1:51" ht="32.450000000000003" customHeight="1">
      <c r="A49" s="448">
        <v>1.3</v>
      </c>
      <c r="B49" s="68" t="s">
        <v>123</v>
      </c>
      <c r="C49" s="71" t="s">
        <v>187</v>
      </c>
      <c r="D49" s="3" t="s">
        <v>188</v>
      </c>
      <c r="E49" s="23">
        <v>81</v>
      </c>
      <c r="F49" s="23">
        <v>56</v>
      </c>
      <c r="G49" s="23">
        <v>51</v>
      </c>
      <c r="H49" s="23">
        <v>1</v>
      </c>
      <c r="I49" s="22">
        <f t="shared" si="5"/>
        <v>133.875</v>
      </c>
      <c r="J49" s="22">
        <v>1797</v>
      </c>
      <c r="K49" s="4">
        <f t="shared" si="3"/>
        <v>1797</v>
      </c>
      <c r="L49" s="445" t="s">
        <v>92</v>
      </c>
      <c r="M49" s="6" t="s">
        <v>176</v>
      </c>
      <c r="N49" s="10" t="s">
        <v>181</v>
      </c>
      <c r="O49" s="434">
        <f t="shared" si="7"/>
        <v>213</v>
      </c>
      <c r="P49" s="435">
        <v>45292</v>
      </c>
      <c r="Q49" s="443" t="s">
        <v>93</v>
      </c>
      <c r="R49" s="429">
        <v>45505</v>
      </c>
      <c r="S49" s="428" t="s">
        <v>51</v>
      </c>
      <c r="T49" s="430" t="s">
        <v>118</v>
      </c>
      <c r="U49" s="440" t="s">
        <v>38</v>
      </c>
      <c r="V49" s="431" t="s">
        <v>189</v>
      </c>
      <c r="W49" s="433" t="s">
        <v>120</v>
      </c>
      <c r="X49" s="433" t="s">
        <v>38</v>
      </c>
      <c r="Y49" s="433" t="s">
        <v>121</v>
      </c>
      <c r="Z49" s="435">
        <v>45597</v>
      </c>
      <c r="AA49" s="434" t="s">
        <v>38</v>
      </c>
      <c r="AB49" s="427" t="s">
        <v>95</v>
      </c>
      <c r="AC49" s="435">
        <v>45621</v>
      </c>
      <c r="AD49" s="409" t="s">
        <v>40</v>
      </c>
      <c r="AE49" s="409" t="str">
        <f t="shared" si="8"/>
        <v>FY25 inter</v>
      </c>
      <c r="AF49" s="409" t="str">
        <f t="shared" si="9"/>
        <v>FY25 intra</v>
      </c>
      <c r="AG49" s="409" t="s">
        <v>182</v>
      </c>
      <c r="AH49" s="409">
        <v>44482</v>
      </c>
      <c r="AI49" s="409" t="s">
        <v>127</v>
      </c>
      <c r="AJ49" s="409">
        <v>44482</v>
      </c>
      <c r="AK49" s="409" t="s">
        <v>190</v>
      </c>
      <c r="AL49" s="409"/>
    </row>
    <row r="50" spans="1:51" ht="32.450000000000003" customHeight="1">
      <c r="A50" s="448">
        <v>1.5</v>
      </c>
      <c r="B50" s="68" t="s">
        <v>123</v>
      </c>
      <c r="C50" s="3" t="s">
        <v>191</v>
      </c>
      <c r="D50" s="3" t="s">
        <v>192</v>
      </c>
      <c r="E50" s="23">
        <v>75</v>
      </c>
      <c r="F50" s="23">
        <v>56.5</v>
      </c>
      <c r="G50" s="445">
        <v>41</v>
      </c>
      <c r="H50" s="23">
        <v>1</v>
      </c>
      <c r="I50" s="22">
        <f t="shared" si="5"/>
        <v>100.54253472222223</v>
      </c>
      <c r="J50" s="22">
        <v>1602</v>
      </c>
      <c r="K50" s="4">
        <f t="shared" si="3"/>
        <v>1602</v>
      </c>
      <c r="L50" s="23" t="s">
        <v>180</v>
      </c>
      <c r="M50" s="6" t="s">
        <v>176</v>
      </c>
      <c r="N50" s="427" t="s">
        <v>36</v>
      </c>
      <c r="O50" s="434">
        <f t="shared" si="7"/>
        <v>352</v>
      </c>
      <c r="P50" s="435">
        <v>45153</v>
      </c>
      <c r="Q50" s="428" t="s">
        <v>93</v>
      </c>
      <c r="R50" s="429">
        <v>45505</v>
      </c>
      <c r="S50" s="428" t="s">
        <v>51</v>
      </c>
      <c r="T50" s="430" t="s">
        <v>118</v>
      </c>
      <c r="U50" s="440" t="s">
        <v>38</v>
      </c>
      <c r="V50" s="431" t="s">
        <v>119</v>
      </c>
      <c r="W50" s="433" t="s">
        <v>120</v>
      </c>
      <c r="X50" s="433" t="s">
        <v>38</v>
      </c>
      <c r="Y50" s="433" t="s">
        <v>121</v>
      </c>
      <c r="Z50" s="435">
        <v>45597</v>
      </c>
      <c r="AA50" s="434" t="s">
        <v>38</v>
      </c>
      <c r="AB50" s="427" t="s">
        <v>95</v>
      </c>
      <c r="AC50" s="435">
        <v>45621</v>
      </c>
      <c r="AD50" s="409" t="s">
        <v>40</v>
      </c>
      <c r="AE50" s="409" t="str">
        <f t="shared" si="8"/>
        <v>FY25 inter</v>
      </c>
      <c r="AF50" s="409" t="str">
        <f t="shared" si="9"/>
        <v>FY25 intra</v>
      </c>
      <c r="AG50" s="409" t="s">
        <v>177</v>
      </c>
      <c r="AH50" s="409">
        <v>44482</v>
      </c>
      <c r="AI50" s="409" t="s">
        <v>127</v>
      </c>
      <c r="AJ50" s="409">
        <v>44474</v>
      </c>
      <c r="AK50" s="409" t="s">
        <v>193</v>
      </c>
      <c r="AL50" s="409"/>
    </row>
    <row r="51" spans="1:51" ht="27" customHeight="1">
      <c r="A51" s="448">
        <v>1.2</v>
      </c>
      <c r="B51" s="68" t="s">
        <v>123</v>
      </c>
      <c r="C51" s="1" t="s">
        <v>194</v>
      </c>
      <c r="D51" s="1" t="s">
        <v>195</v>
      </c>
      <c r="E51" s="38">
        <v>48</v>
      </c>
      <c r="F51" s="38">
        <v>48</v>
      </c>
      <c r="G51" s="38">
        <v>48</v>
      </c>
      <c r="H51" s="23">
        <v>1</v>
      </c>
      <c r="I51" s="22">
        <f t="shared" si="5"/>
        <v>64</v>
      </c>
      <c r="J51" s="22">
        <v>1500</v>
      </c>
      <c r="K51" s="4">
        <f t="shared" si="3"/>
        <v>1500</v>
      </c>
      <c r="L51" s="449" t="s">
        <v>92</v>
      </c>
      <c r="M51" s="439" t="s">
        <v>117</v>
      </c>
      <c r="N51" s="427" t="s">
        <v>36</v>
      </c>
      <c r="O51" s="434">
        <f t="shared" si="7"/>
        <v>61</v>
      </c>
      <c r="P51" s="435">
        <v>45444</v>
      </c>
      <c r="Q51" s="428" t="s">
        <v>93</v>
      </c>
      <c r="R51" s="429">
        <v>45505</v>
      </c>
      <c r="S51" s="428" t="s">
        <v>51</v>
      </c>
      <c r="T51" s="430" t="s">
        <v>118</v>
      </c>
      <c r="U51" s="440" t="s">
        <v>38</v>
      </c>
      <c r="V51" s="431" t="s">
        <v>119</v>
      </c>
      <c r="W51" s="433" t="s">
        <v>120</v>
      </c>
      <c r="X51" s="433" t="s">
        <v>38</v>
      </c>
      <c r="Y51" s="433" t="s">
        <v>121</v>
      </c>
      <c r="Z51" s="435">
        <v>45597</v>
      </c>
      <c r="AA51" s="434" t="s">
        <v>38</v>
      </c>
      <c r="AB51" s="427" t="s">
        <v>95</v>
      </c>
      <c r="AC51" s="435">
        <v>45627</v>
      </c>
      <c r="AD51" s="409" t="s">
        <v>40</v>
      </c>
      <c r="AE51" s="409" t="str">
        <f t="shared" si="8"/>
        <v>FY25 inter</v>
      </c>
      <c r="AF51" s="409" t="str">
        <f t="shared" si="9"/>
        <v>FY25 intra</v>
      </c>
      <c r="AG51" s="409" t="s">
        <v>127</v>
      </c>
      <c r="AH51" s="409">
        <v>44477</v>
      </c>
      <c r="AI51" s="409" t="s">
        <v>127</v>
      </c>
      <c r="AJ51" s="409">
        <v>44477</v>
      </c>
      <c r="AK51" s="409"/>
      <c r="AL51" s="409"/>
    </row>
    <row r="52" spans="1:51" ht="17.100000000000001">
      <c r="A52" s="448">
        <v>1.5</v>
      </c>
      <c r="B52" s="68" t="s">
        <v>123</v>
      </c>
      <c r="C52" s="3" t="s">
        <v>196</v>
      </c>
      <c r="D52" s="3" t="s">
        <v>197</v>
      </c>
      <c r="E52" s="23">
        <v>48</v>
      </c>
      <c r="F52" s="23">
        <v>17</v>
      </c>
      <c r="G52" s="23">
        <v>17</v>
      </c>
      <c r="H52" s="23">
        <v>1</v>
      </c>
      <c r="I52" s="22">
        <f t="shared" si="5"/>
        <v>8.0277777777777786</v>
      </c>
      <c r="J52" s="22">
        <v>60</v>
      </c>
      <c r="K52" s="4">
        <f t="shared" si="3"/>
        <v>60</v>
      </c>
      <c r="L52" s="445" t="s">
        <v>35</v>
      </c>
      <c r="M52" s="436" t="s">
        <v>117</v>
      </c>
      <c r="N52" s="427" t="s">
        <v>36</v>
      </c>
      <c r="O52" s="434">
        <f t="shared" si="7"/>
        <v>61</v>
      </c>
      <c r="P52" s="435">
        <v>45444</v>
      </c>
      <c r="Q52" s="443" t="s">
        <v>93</v>
      </c>
      <c r="R52" s="429">
        <v>45505</v>
      </c>
      <c r="S52" s="428" t="s">
        <v>51</v>
      </c>
      <c r="T52" s="430" t="s">
        <v>118</v>
      </c>
      <c r="U52" s="440" t="s">
        <v>38</v>
      </c>
      <c r="V52" s="431" t="s">
        <v>189</v>
      </c>
      <c r="W52" s="433" t="s">
        <v>120</v>
      </c>
      <c r="X52" s="433" t="s">
        <v>38</v>
      </c>
      <c r="Y52" s="433" t="s">
        <v>121</v>
      </c>
      <c r="Z52" s="435">
        <v>45597</v>
      </c>
      <c r="AA52" s="434" t="s">
        <v>38</v>
      </c>
      <c r="AB52" s="427" t="s">
        <v>95</v>
      </c>
      <c r="AC52" s="435">
        <v>45621</v>
      </c>
      <c r="AD52" s="409" t="s">
        <v>40</v>
      </c>
      <c r="AE52" s="409" t="str">
        <f t="shared" si="8"/>
        <v>FY25 inter</v>
      </c>
      <c r="AF52" s="409" t="str">
        <f t="shared" si="9"/>
        <v>FY25 intra</v>
      </c>
      <c r="AG52" s="409" t="s">
        <v>177</v>
      </c>
      <c r="AH52" s="409">
        <v>44483</v>
      </c>
      <c r="AI52" s="409" t="s">
        <v>127</v>
      </c>
      <c r="AJ52" s="409">
        <v>44457</v>
      </c>
      <c r="AK52" s="409" t="s">
        <v>198</v>
      </c>
      <c r="AL52" s="409"/>
    </row>
    <row r="53" spans="1:51" ht="17.100000000000001">
      <c r="A53" s="448">
        <v>1.5</v>
      </c>
      <c r="B53" s="68" t="s">
        <v>123</v>
      </c>
      <c r="C53" s="3" t="s">
        <v>196</v>
      </c>
      <c r="D53" s="3" t="s">
        <v>199</v>
      </c>
      <c r="E53" s="23">
        <v>48</v>
      </c>
      <c r="F53" s="23">
        <v>17</v>
      </c>
      <c r="G53" s="23">
        <v>17</v>
      </c>
      <c r="H53" s="23">
        <v>1</v>
      </c>
      <c r="I53" s="22">
        <f t="shared" si="5"/>
        <v>8.0277777777777786</v>
      </c>
      <c r="J53" s="22">
        <v>60</v>
      </c>
      <c r="K53" s="4">
        <f t="shared" si="3"/>
        <v>60</v>
      </c>
      <c r="L53" s="445" t="s">
        <v>35</v>
      </c>
      <c r="M53" s="436" t="s">
        <v>117</v>
      </c>
      <c r="N53" s="427" t="s">
        <v>36</v>
      </c>
      <c r="O53" s="434">
        <f t="shared" si="7"/>
        <v>61</v>
      </c>
      <c r="P53" s="435">
        <v>45444</v>
      </c>
      <c r="Q53" s="443" t="s">
        <v>93</v>
      </c>
      <c r="R53" s="429">
        <v>45505</v>
      </c>
      <c r="S53" s="428" t="s">
        <v>51</v>
      </c>
      <c r="T53" s="430" t="s">
        <v>118</v>
      </c>
      <c r="U53" s="440" t="s">
        <v>38</v>
      </c>
      <c r="V53" s="431" t="s">
        <v>189</v>
      </c>
      <c r="W53" s="433" t="s">
        <v>120</v>
      </c>
      <c r="X53" s="433" t="s">
        <v>38</v>
      </c>
      <c r="Y53" s="433" t="s">
        <v>121</v>
      </c>
      <c r="Z53" s="435">
        <v>45597</v>
      </c>
      <c r="AA53" s="434" t="s">
        <v>38</v>
      </c>
      <c r="AB53" s="427" t="s">
        <v>95</v>
      </c>
      <c r="AC53" s="435">
        <v>45621</v>
      </c>
      <c r="AD53" s="409" t="s">
        <v>40</v>
      </c>
      <c r="AE53" s="409" t="str">
        <f t="shared" si="8"/>
        <v>FY25 inter</v>
      </c>
      <c r="AF53" s="409" t="str">
        <f t="shared" si="9"/>
        <v>FY25 intra</v>
      </c>
      <c r="AG53" s="409" t="s">
        <v>177</v>
      </c>
      <c r="AH53" s="409">
        <v>44483</v>
      </c>
      <c r="AI53" s="409" t="s">
        <v>127</v>
      </c>
      <c r="AJ53" s="409">
        <v>44458</v>
      </c>
      <c r="AK53" s="409" t="s">
        <v>198</v>
      </c>
      <c r="AL53" s="409"/>
    </row>
    <row r="54" spans="1:51" ht="17.100000000000001">
      <c r="A54" s="448">
        <v>1.5</v>
      </c>
      <c r="B54" s="68" t="s">
        <v>123</v>
      </c>
      <c r="C54" s="3" t="s">
        <v>196</v>
      </c>
      <c r="D54" s="3" t="s">
        <v>200</v>
      </c>
      <c r="E54" s="23">
        <v>26</v>
      </c>
      <c r="F54" s="23">
        <v>24</v>
      </c>
      <c r="G54" s="23">
        <v>24</v>
      </c>
      <c r="H54" s="23">
        <v>1</v>
      </c>
      <c r="I54" s="22">
        <f t="shared" si="5"/>
        <v>8.6666666666666661</v>
      </c>
      <c r="J54" s="22">
        <v>120</v>
      </c>
      <c r="K54" s="4">
        <f t="shared" si="3"/>
        <v>120</v>
      </c>
      <c r="L54" s="445" t="s">
        <v>35</v>
      </c>
      <c r="M54" s="436" t="s">
        <v>117</v>
      </c>
      <c r="N54" s="427" t="s">
        <v>36</v>
      </c>
      <c r="O54" s="434">
        <f t="shared" si="7"/>
        <v>61</v>
      </c>
      <c r="P54" s="435">
        <v>45444</v>
      </c>
      <c r="Q54" s="443" t="s">
        <v>93</v>
      </c>
      <c r="R54" s="429">
        <v>45505</v>
      </c>
      <c r="S54" s="428" t="s">
        <v>51</v>
      </c>
      <c r="T54" s="430" t="s">
        <v>118</v>
      </c>
      <c r="U54" s="440" t="s">
        <v>38</v>
      </c>
      <c r="V54" s="431" t="s">
        <v>189</v>
      </c>
      <c r="W54" s="433" t="s">
        <v>120</v>
      </c>
      <c r="X54" s="433" t="s">
        <v>38</v>
      </c>
      <c r="Y54" s="433" t="s">
        <v>121</v>
      </c>
      <c r="Z54" s="435">
        <v>45597</v>
      </c>
      <c r="AA54" s="434" t="s">
        <v>38</v>
      </c>
      <c r="AB54" s="427" t="s">
        <v>95</v>
      </c>
      <c r="AC54" s="435">
        <v>45621</v>
      </c>
      <c r="AD54" s="409" t="s">
        <v>40</v>
      </c>
      <c r="AE54" s="409" t="str">
        <f t="shared" si="8"/>
        <v>FY25 inter</v>
      </c>
      <c r="AF54" s="409" t="str">
        <f t="shared" si="9"/>
        <v>FY25 intra</v>
      </c>
      <c r="AG54" s="409" t="s">
        <v>177</v>
      </c>
      <c r="AH54" s="409">
        <v>44483</v>
      </c>
      <c r="AI54" s="409" t="s">
        <v>127</v>
      </c>
      <c r="AJ54" s="409">
        <v>44459</v>
      </c>
      <c r="AK54" s="409" t="s">
        <v>198</v>
      </c>
      <c r="AL54" s="409"/>
    </row>
    <row r="55" spans="1:51" ht="17.100000000000001">
      <c r="A55" s="448">
        <v>1.5</v>
      </c>
      <c r="B55" s="68" t="s">
        <v>123</v>
      </c>
      <c r="C55" s="3" t="s">
        <v>196</v>
      </c>
      <c r="D55" s="3" t="s">
        <v>200</v>
      </c>
      <c r="E55" s="23">
        <v>26</v>
      </c>
      <c r="F55" s="23">
        <v>23</v>
      </c>
      <c r="G55" s="23">
        <v>20</v>
      </c>
      <c r="H55" s="23">
        <v>1</v>
      </c>
      <c r="I55" s="22">
        <f t="shared" si="5"/>
        <v>6.9212962962962967</v>
      </c>
      <c r="J55" s="22">
        <v>60</v>
      </c>
      <c r="K55" s="4">
        <f t="shared" si="3"/>
        <v>60</v>
      </c>
      <c r="L55" s="445" t="s">
        <v>35</v>
      </c>
      <c r="M55" s="436" t="s">
        <v>117</v>
      </c>
      <c r="N55" s="427" t="s">
        <v>36</v>
      </c>
      <c r="O55" s="434">
        <f t="shared" si="7"/>
        <v>61</v>
      </c>
      <c r="P55" s="435">
        <v>45444</v>
      </c>
      <c r="Q55" s="443" t="s">
        <v>93</v>
      </c>
      <c r="R55" s="429">
        <v>45505</v>
      </c>
      <c r="S55" s="428" t="s">
        <v>51</v>
      </c>
      <c r="T55" s="430" t="s">
        <v>118</v>
      </c>
      <c r="U55" s="440" t="s">
        <v>38</v>
      </c>
      <c r="V55" s="431" t="s">
        <v>189</v>
      </c>
      <c r="W55" s="433" t="s">
        <v>120</v>
      </c>
      <c r="X55" s="433" t="s">
        <v>38</v>
      </c>
      <c r="Y55" s="433" t="s">
        <v>121</v>
      </c>
      <c r="Z55" s="435">
        <v>45597</v>
      </c>
      <c r="AA55" s="434" t="s">
        <v>38</v>
      </c>
      <c r="AB55" s="427" t="s">
        <v>95</v>
      </c>
      <c r="AC55" s="435">
        <v>45621</v>
      </c>
      <c r="AD55" s="409" t="s">
        <v>40</v>
      </c>
      <c r="AE55" s="409" t="str">
        <f t="shared" si="8"/>
        <v>FY25 inter</v>
      </c>
      <c r="AF55" s="409" t="str">
        <f t="shared" si="9"/>
        <v>FY25 intra</v>
      </c>
      <c r="AG55" s="409" t="s">
        <v>177</v>
      </c>
      <c r="AH55" s="409">
        <v>44483</v>
      </c>
      <c r="AI55" s="409" t="s">
        <v>127</v>
      </c>
      <c r="AJ55" s="409">
        <v>44460</v>
      </c>
      <c r="AK55" s="409" t="s">
        <v>198</v>
      </c>
      <c r="AL55" s="409"/>
    </row>
    <row r="56" spans="1:51" ht="17.100000000000001">
      <c r="A56" s="448">
        <v>1.5</v>
      </c>
      <c r="B56" s="68" t="s">
        <v>123</v>
      </c>
      <c r="C56" s="3" t="s">
        <v>201</v>
      </c>
      <c r="D56" s="3" t="s">
        <v>202</v>
      </c>
      <c r="E56" s="23">
        <v>86</v>
      </c>
      <c r="F56" s="23">
        <v>60</v>
      </c>
      <c r="G56" s="23">
        <v>68</v>
      </c>
      <c r="H56" s="23">
        <v>1</v>
      </c>
      <c r="I56" s="22">
        <f t="shared" ref="I56" si="10">E56*F56*G56/1728*H56</f>
        <v>203.05555555555554</v>
      </c>
      <c r="J56" s="22">
        <v>3500</v>
      </c>
      <c r="K56" s="4">
        <f t="shared" ref="K56" si="11">IF(ISERROR(SEARCH("totals", C56)),H56*J56, "")</f>
        <v>3500</v>
      </c>
      <c r="L56" s="445" t="s">
        <v>180</v>
      </c>
      <c r="M56" s="436"/>
      <c r="N56" s="427" t="s">
        <v>36</v>
      </c>
      <c r="O56" s="434">
        <f t="shared" si="7"/>
        <v>61</v>
      </c>
      <c r="P56" s="435">
        <v>45444</v>
      </c>
      <c r="Q56" s="443" t="s">
        <v>93</v>
      </c>
      <c r="R56" s="429">
        <v>45505</v>
      </c>
      <c r="S56" s="428" t="s">
        <v>51</v>
      </c>
      <c r="T56" s="430" t="s">
        <v>118</v>
      </c>
      <c r="U56" s="440" t="s">
        <v>38</v>
      </c>
      <c r="V56" s="431" t="s">
        <v>189</v>
      </c>
      <c r="W56" s="433" t="s">
        <v>120</v>
      </c>
      <c r="X56" s="433" t="s">
        <v>38</v>
      </c>
      <c r="Y56" s="433" t="s">
        <v>121</v>
      </c>
      <c r="Z56" s="435">
        <v>45597</v>
      </c>
      <c r="AA56" s="434" t="s">
        <v>38</v>
      </c>
      <c r="AB56" s="427" t="s">
        <v>95</v>
      </c>
      <c r="AC56" s="435">
        <v>45621</v>
      </c>
      <c r="AD56" s="409" t="s">
        <v>40</v>
      </c>
      <c r="AE56" s="409" t="str">
        <f t="shared" ref="AE56" si="12">IF(ISBLANK(Z56),"",IFERROR(LOOKUP(Z56,FY_dates, inter_label),Z56))</f>
        <v>FY25 inter</v>
      </c>
      <c r="AF56" s="409" t="str">
        <f t="shared" ref="AF56" si="13">IF(ISBLANK(AC56),"",IFERROR(LOOKUP(AC56,FY_dates, intra_label),AC56))</f>
        <v>FY25 intra</v>
      </c>
      <c r="AG56" s="409" t="s">
        <v>127</v>
      </c>
      <c r="AH56" s="409">
        <v>44477</v>
      </c>
      <c r="AI56" s="409" t="s">
        <v>42</v>
      </c>
      <c r="AJ56" s="409">
        <v>44477</v>
      </c>
      <c r="AK56" s="409" t="s">
        <v>203</v>
      </c>
      <c r="AL56" s="409"/>
    </row>
    <row r="57" spans="1:51" ht="31.5">
      <c r="A57" s="25">
        <v>1.5</v>
      </c>
      <c r="B57" s="68" t="s">
        <v>123</v>
      </c>
      <c r="C57" s="3" t="s">
        <v>204</v>
      </c>
      <c r="D57" s="3" t="s">
        <v>205</v>
      </c>
      <c r="E57" s="23">
        <v>48</v>
      </c>
      <c r="F57" s="23">
        <v>48</v>
      </c>
      <c r="G57" s="23">
        <v>36</v>
      </c>
      <c r="H57" s="23">
        <v>1</v>
      </c>
      <c r="I57" s="22">
        <f t="shared" si="5"/>
        <v>48</v>
      </c>
      <c r="J57" s="22">
        <v>400</v>
      </c>
      <c r="K57" s="4">
        <f t="shared" si="3"/>
        <v>400</v>
      </c>
      <c r="L57" s="445" t="s">
        <v>180</v>
      </c>
      <c r="M57" s="436" t="s">
        <v>117</v>
      </c>
      <c r="N57" s="427" t="s">
        <v>36</v>
      </c>
      <c r="O57" s="434">
        <f t="shared" si="7"/>
        <v>61</v>
      </c>
      <c r="P57" s="435">
        <v>45444</v>
      </c>
      <c r="Q57" s="443" t="s">
        <v>93</v>
      </c>
      <c r="R57" s="429">
        <v>45505</v>
      </c>
      <c r="S57" s="428" t="s">
        <v>51</v>
      </c>
      <c r="T57" s="430" t="s">
        <v>118</v>
      </c>
      <c r="U57" s="440" t="s">
        <v>38</v>
      </c>
      <c r="V57" s="431" t="s">
        <v>189</v>
      </c>
      <c r="W57" s="433" t="s">
        <v>120</v>
      </c>
      <c r="X57" s="433" t="s">
        <v>38</v>
      </c>
      <c r="Y57" s="433" t="s">
        <v>121</v>
      </c>
      <c r="Z57" s="435">
        <v>45597</v>
      </c>
      <c r="AA57" s="434" t="s">
        <v>38</v>
      </c>
      <c r="AB57" s="427" t="s">
        <v>95</v>
      </c>
      <c r="AC57" s="435">
        <v>45621</v>
      </c>
      <c r="AD57" s="409" t="s">
        <v>40</v>
      </c>
      <c r="AE57" s="409" t="str">
        <f t="shared" si="8"/>
        <v>FY25 inter</v>
      </c>
      <c r="AF57" s="409" t="str">
        <f t="shared" si="9"/>
        <v>FY25 intra</v>
      </c>
      <c r="AG57" s="409" t="s">
        <v>127</v>
      </c>
      <c r="AH57" s="409">
        <v>44477</v>
      </c>
      <c r="AI57" s="409" t="s">
        <v>42</v>
      </c>
      <c r="AJ57" s="409">
        <v>44477</v>
      </c>
      <c r="AK57" s="409" t="s">
        <v>203</v>
      </c>
      <c r="AL57" s="409"/>
    </row>
    <row r="58" spans="1:51" s="91" customFormat="1" ht="29.85" customHeight="1">
      <c r="A58" s="53"/>
      <c r="B58" s="53"/>
      <c r="C58" s="54" t="s">
        <v>206</v>
      </c>
      <c r="D58" s="55"/>
      <c r="E58" s="44"/>
      <c r="F58" s="44"/>
      <c r="G58" s="44" t="s">
        <v>75</v>
      </c>
      <c r="H58" s="56">
        <f>I58/(1360*0.7)</f>
        <v>12.127729694308279</v>
      </c>
      <c r="I58" s="57">
        <f>SUM(I20:I57)</f>
        <v>11545.59866898148</v>
      </c>
      <c r="J58" s="57"/>
      <c r="K58" s="58">
        <f>SUM(K20:K57)</f>
        <v>148267</v>
      </c>
      <c r="L58" s="58"/>
      <c r="M58" s="58"/>
      <c r="N58" s="58"/>
      <c r="O58" s="77"/>
      <c r="P58" s="77"/>
      <c r="Q58" s="59"/>
      <c r="R58" s="77"/>
      <c r="S58" s="60"/>
      <c r="T58" s="59"/>
      <c r="U58" s="60"/>
      <c r="V58" s="60"/>
      <c r="W58" s="59"/>
      <c r="X58" s="60"/>
      <c r="Y58" s="60"/>
      <c r="Z58" s="77"/>
      <c r="AA58" s="60"/>
      <c r="AB58" s="60"/>
      <c r="AC58" s="77"/>
      <c r="AD58" s="59"/>
      <c r="AE58" s="77" t="str">
        <f t="shared" si="8"/>
        <v/>
      </c>
      <c r="AF58" s="59" t="str">
        <f t="shared" si="9"/>
        <v/>
      </c>
      <c r="AG58" s="59"/>
      <c r="AH58" s="59"/>
      <c r="AI58" s="59"/>
      <c r="AJ58" s="59"/>
      <c r="AK58" s="59"/>
      <c r="AL58" s="59"/>
      <c r="AM58" s="9"/>
      <c r="AN58" s="9"/>
      <c r="AO58" s="9"/>
      <c r="AP58" s="9"/>
      <c r="AQ58" s="9"/>
      <c r="AR58" s="9"/>
      <c r="AS58" s="9"/>
      <c r="AT58" s="9"/>
      <c r="AU58" s="9"/>
      <c r="AV58" s="9"/>
      <c r="AW58" s="9"/>
      <c r="AX58" s="9"/>
      <c r="AY58" s="9"/>
    </row>
    <row r="59" spans="1:51" ht="30" customHeight="1">
      <c r="A59" s="35">
        <v>1.4</v>
      </c>
      <c r="B59" s="51" t="s">
        <v>123</v>
      </c>
      <c r="C59" s="20" t="s">
        <v>207</v>
      </c>
      <c r="D59" s="1" t="s">
        <v>208</v>
      </c>
      <c r="E59" s="36">
        <v>66</v>
      </c>
      <c r="F59" s="36">
        <v>30</v>
      </c>
      <c r="G59" s="36">
        <v>14</v>
      </c>
      <c r="H59" s="23">
        <v>7</v>
      </c>
      <c r="I59" s="4">
        <f t="shared" ref="I59:I66" si="14">E59*F59*G59/1728*H59</f>
        <v>112.29166666666667</v>
      </c>
      <c r="J59" s="4">
        <v>200</v>
      </c>
      <c r="K59" s="4">
        <f t="shared" si="3"/>
        <v>1400</v>
      </c>
      <c r="L59" s="36" t="s">
        <v>180</v>
      </c>
      <c r="M59" s="8"/>
      <c r="N59" s="427" t="s">
        <v>209</v>
      </c>
      <c r="O59" s="434">
        <f t="shared" si="7"/>
        <v>14</v>
      </c>
      <c r="P59" s="435">
        <v>44866</v>
      </c>
      <c r="Q59" s="428" t="s">
        <v>210</v>
      </c>
      <c r="R59" s="429">
        <v>44880</v>
      </c>
      <c r="S59" s="428" t="s">
        <v>51</v>
      </c>
      <c r="T59" s="430" t="s">
        <v>79</v>
      </c>
      <c r="U59" s="431" t="s">
        <v>38</v>
      </c>
      <c r="V59" s="431" t="s">
        <v>80</v>
      </c>
      <c r="W59" s="433" t="s">
        <v>80</v>
      </c>
      <c r="X59" s="433" t="s">
        <v>38</v>
      </c>
      <c r="Y59" s="433" t="s">
        <v>38</v>
      </c>
      <c r="Z59" s="426">
        <v>44963</v>
      </c>
      <c r="AA59" s="434" t="s">
        <v>38</v>
      </c>
      <c r="AB59" s="409" t="s">
        <v>52</v>
      </c>
      <c r="AC59" s="435">
        <v>45270</v>
      </c>
      <c r="AD59" s="409" t="s">
        <v>40</v>
      </c>
      <c r="AE59" s="409" t="str">
        <f t="shared" si="8"/>
        <v>FY23 inter</v>
      </c>
      <c r="AF59" s="409" t="str">
        <f t="shared" si="9"/>
        <v>FY24 intra</v>
      </c>
      <c r="AG59" s="409" t="s">
        <v>211</v>
      </c>
      <c r="AH59" s="409">
        <v>44482</v>
      </c>
      <c r="AI59" s="409" t="s">
        <v>127</v>
      </c>
      <c r="AJ59" s="409">
        <v>44480</v>
      </c>
      <c r="AK59" s="409" t="s">
        <v>212</v>
      </c>
      <c r="AL59" s="409"/>
    </row>
    <row r="60" spans="1:51" ht="32.25" customHeight="1">
      <c r="A60" s="35">
        <v>1.4</v>
      </c>
      <c r="B60" s="51" t="s">
        <v>123</v>
      </c>
      <c r="C60" s="20" t="s">
        <v>213</v>
      </c>
      <c r="D60" s="1" t="s">
        <v>214</v>
      </c>
      <c r="E60" s="36">
        <v>48</v>
      </c>
      <c r="F60" s="36">
        <v>65</v>
      </c>
      <c r="G60" s="36">
        <v>71</v>
      </c>
      <c r="H60" s="23">
        <v>7</v>
      </c>
      <c r="I60" s="4">
        <f t="shared" si="14"/>
        <v>897.3611111111112</v>
      </c>
      <c r="J60" s="4">
        <v>1335.7142857142858</v>
      </c>
      <c r="K60" s="4">
        <f t="shared" si="3"/>
        <v>9350</v>
      </c>
      <c r="L60" s="36" t="s">
        <v>35</v>
      </c>
      <c r="M60" s="112"/>
      <c r="N60" s="427" t="s">
        <v>209</v>
      </c>
      <c r="O60" s="434">
        <f t="shared" si="7"/>
        <v>366</v>
      </c>
      <c r="P60" s="435">
        <v>44530</v>
      </c>
      <c r="Q60" s="428" t="s">
        <v>210</v>
      </c>
      <c r="R60" s="429">
        <v>44896</v>
      </c>
      <c r="S60" s="428" t="s">
        <v>51</v>
      </c>
      <c r="T60" s="430" t="s">
        <v>79</v>
      </c>
      <c r="U60" s="431" t="s">
        <v>38</v>
      </c>
      <c r="V60" s="431" t="s">
        <v>80</v>
      </c>
      <c r="W60" s="433" t="s">
        <v>80</v>
      </c>
      <c r="X60" s="433" t="s">
        <v>38</v>
      </c>
      <c r="Y60" s="433" t="s">
        <v>38</v>
      </c>
      <c r="Z60" s="426">
        <v>44963</v>
      </c>
      <c r="AA60" s="434" t="s">
        <v>38</v>
      </c>
      <c r="AB60" s="409" t="s">
        <v>95</v>
      </c>
      <c r="AC60" s="435">
        <v>45250</v>
      </c>
      <c r="AD60" s="409" t="s">
        <v>40</v>
      </c>
      <c r="AE60" s="409" t="str">
        <f t="shared" si="8"/>
        <v>FY23 inter</v>
      </c>
      <c r="AF60" s="409" t="str">
        <f t="shared" si="9"/>
        <v>FY24 intra</v>
      </c>
      <c r="AG60" s="409" t="s">
        <v>211</v>
      </c>
      <c r="AH60" s="409">
        <v>44482</v>
      </c>
      <c r="AI60" s="409" t="s">
        <v>127</v>
      </c>
      <c r="AJ60" s="409">
        <v>44480</v>
      </c>
      <c r="AK60" s="409"/>
      <c r="AL60" s="409"/>
    </row>
    <row r="61" spans="1:51" ht="78.75">
      <c r="A61" s="35">
        <v>1.4</v>
      </c>
      <c r="B61" s="51" t="s">
        <v>123</v>
      </c>
      <c r="C61" s="20" t="s">
        <v>215</v>
      </c>
      <c r="D61" s="20" t="s">
        <v>216</v>
      </c>
      <c r="E61" s="36">
        <v>72</v>
      </c>
      <c r="F61" s="36">
        <v>48</v>
      </c>
      <c r="G61" s="36">
        <v>48</v>
      </c>
      <c r="H61" s="23">
        <v>2</v>
      </c>
      <c r="I61" s="4">
        <f t="shared" si="14"/>
        <v>192</v>
      </c>
      <c r="J61" s="4">
        <v>1000</v>
      </c>
      <c r="K61" s="4">
        <f t="shared" si="3"/>
        <v>2000</v>
      </c>
      <c r="L61" s="36" t="s">
        <v>92</v>
      </c>
      <c r="M61" s="112" t="s">
        <v>217</v>
      </c>
      <c r="N61" s="427" t="s">
        <v>209</v>
      </c>
      <c r="O61" s="434">
        <f t="shared" si="7"/>
        <v>46</v>
      </c>
      <c r="P61" s="435">
        <v>44985</v>
      </c>
      <c r="Q61" s="428" t="s">
        <v>210</v>
      </c>
      <c r="R61" s="429">
        <v>45031</v>
      </c>
      <c r="S61" s="428" t="s">
        <v>51</v>
      </c>
      <c r="T61" s="431" t="s">
        <v>79</v>
      </c>
      <c r="U61" s="431" t="s">
        <v>38</v>
      </c>
      <c r="V61" s="431" t="s">
        <v>80</v>
      </c>
      <c r="W61" s="433" t="s">
        <v>80</v>
      </c>
      <c r="X61" s="433" t="s">
        <v>38</v>
      </c>
      <c r="Y61" s="433" t="s">
        <v>38</v>
      </c>
      <c r="Z61" s="426">
        <v>45328</v>
      </c>
      <c r="AA61" s="434" t="s">
        <v>38</v>
      </c>
      <c r="AB61" s="427" t="s">
        <v>95</v>
      </c>
      <c r="AC61" s="435">
        <v>45337</v>
      </c>
      <c r="AD61" s="409" t="s">
        <v>40</v>
      </c>
      <c r="AE61" s="409" t="str">
        <f t="shared" si="8"/>
        <v>FY24 inter</v>
      </c>
      <c r="AF61" s="409" t="str">
        <f t="shared" si="9"/>
        <v>FY24 intra</v>
      </c>
      <c r="AG61" s="409" t="s">
        <v>211</v>
      </c>
      <c r="AH61" s="409">
        <v>44459</v>
      </c>
      <c r="AI61" s="409" t="s">
        <v>127</v>
      </c>
      <c r="AJ61" s="409">
        <v>44480</v>
      </c>
      <c r="AK61" s="409" t="s">
        <v>218</v>
      </c>
      <c r="AL61" s="409"/>
    </row>
    <row r="62" spans="1:51" ht="32.25" customHeight="1">
      <c r="A62" s="35">
        <v>1.4</v>
      </c>
      <c r="B62" s="51" t="s">
        <v>123</v>
      </c>
      <c r="C62" s="20" t="s">
        <v>219</v>
      </c>
      <c r="D62" s="20" t="s">
        <v>220</v>
      </c>
      <c r="E62" s="36">
        <v>72</v>
      </c>
      <c r="F62" s="36">
        <v>48</v>
      </c>
      <c r="G62" s="36">
        <v>48</v>
      </c>
      <c r="H62" s="23">
        <v>5</v>
      </c>
      <c r="I62" s="4">
        <f t="shared" si="14"/>
        <v>480</v>
      </c>
      <c r="J62" s="4">
        <v>1000</v>
      </c>
      <c r="K62" s="4">
        <f t="shared" si="3"/>
        <v>5000</v>
      </c>
      <c r="L62" s="36" t="s">
        <v>92</v>
      </c>
      <c r="M62" s="112" t="s">
        <v>217</v>
      </c>
      <c r="N62" s="427" t="s">
        <v>209</v>
      </c>
      <c r="O62" s="434">
        <f t="shared" si="7"/>
        <v>24</v>
      </c>
      <c r="P62" s="435">
        <v>45068</v>
      </c>
      <c r="Q62" s="428" t="s">
        <v>210</v>
      </c>
      <c r="R62" s="429">
        <v>45092</v>
      </c>
      <c r="S62" s="428" t="s">
        <v>51</v>
      </c>
      <c r="T62" s="431" t="s">
        <v>79</v>
      </c>
      <c r="U62" s="431" t="s">
        <v>38</v>
      </c>
      <c r="V62" s="431" t="s">
        <v>80</v>
      </c>
      <c r="W62" s="433" t="s">
        <v>80</v>
      </c>
      <c r="X62" s="433" t="s">
        <v>38</v>
      </c>
      <c r="Y62" s="433" t="s">
        <v>38</v>
      </c>
      <c r="Z62" s="426">
        <v>45328</v>
      </c>
      <c r="AA62" s="434" t="s">
        <v>38</v>
      </c>
      <c r="AB62" s="427" t="s">
        <v>52</v>
      </c>
      <c r="AC62" s="435">
        <v>45621</v>
      </c>
      <c r="AD62" s="409" t="s">
        <v>40</v>
      </c>
      <c r="AE62" s="409" t="str">
        <f t="shared" si="8"/>
        <v>FY24 inter</v>
      </c>
      <c r="AF62" s="409" t="str">
        <f t="shared" si="9"/>
        <v>FY25 intra</v>
      </c>
      <c r="AG62" s="409" t="s">
        <v>211</v>
      </c>
      <c r="AH62" s="409">
        <v>44459</v>
      </c>
      <c r="AI62" s="409" t="s">
        <v>127</v>
      </c>
      <c r="AJ62" s="409">
        <v>44459</v>
      </c>
      <c r="AK62" s="409" t="s">
        <v>221</v>
      </c>
      <c r="AL62" s="409"/>
    </row>
    <row r="63" spans="1:51" ht="32.25" customHeight="1">
      <c r="A63" s="35">
        <v>1.4</v>
      </c>
      <c r="B63" s="51" t="s">
        <v>123</v>
      </c>
      <c r="C63" s="20" t="s">
        <v>222</v>
      </c>
      <c r="D63" s="20" t="s">
        <v>223</v>
      </c>
      <c r="E63" s="36">
        <v>47</v>
      </c>
      <c r="F63" s="36">
        <v>47</v>
      </c>
      <c r="G63" s="36">
        <v>39</v>
      </c>
      <c r="H63" s="23">
        <v>7</v>
      </c>
      <c r="I63" s="4">
        <f t="shared" si="14"/>
        <v>348.99131944444446</v>
      </c>
      <c r="J63" s="4">
        <v>766</v>
      </c>
      <c r="K63" s="4">
        <f t="shared" si="3"/>
        <v>5362</v>
      </c>
      <c r="L63" s="36" t="s">
        <v>180</v>
      </c>
      <c r="M63" s="112" t="s">
        <v>217</v>
      </c>
      <c r="N63" s="427" t="s">
        <v>209</v>
      </c>
      <c r="O63" s="434">
        <f t="shared" si="7"/>
        <v>14</v>
      </c>
      <c r="P63" s="435">
        <v>45017</v>
      </c>
      <c r="Q63" s="428" t="s">
        <v>210</v>
      </c>
      <c r="R63" s="429">
        <v>45031</v>
      </c>
      <c r="S63" s="428" t="s">
        <v>51</v>
      </c>
      <c r="T63" s="431" t="s">
        <v>79</v>
      </c>
      <c r="U63" s="431" t="s">
        <v>38</v>
      </c>
      <c r="V63" s="431" t="s">
        <v>80</v>
      </c>
      <c r="W63" s="433" t="s">
        <v>80</v>
      </c>
      <c r="X63" s="433" t="s">
        <v>38</v>
      </c>
      <c r="Y63" s="433" t="s">
        <v>38</v>
      </c>
      <c r="Z63" s="426">
        <v>45328</v>
      </c>
      <c r="AA63" s="434" t="s">
        <v>38</v>
      </c>
      <c r="AB63" s="409" t="s">
        <v>52</v>
      </c>
      <c r="AC63" s="435">
        <v>45627</v>
      </c>
      <c r="AD63" s="409" t="s">
        <v>40</v>
      </c>
      <c r="AE63" s="409" t="str">
        <f t="shared" si="8"/>
        <v>FY24 inter</v>
      </c>
      <c r="AF63" s="409" t="str">
        <f t="shared" si="9"/>
        <v>FY25 intra</v>
      </c>
      <c r="AG63" s="409" t="s">
        <v>211</v>
      </c>
      <c r="AH63" s="409">
        <v>44459</v>
      </c>
      <c r="AI63" s="409" t="s">
        <v>127</v>
      </c>
      <c r="AJ63" s="409">
        <v>44480</v>
      </c>
      <c r="AK63" s="409" t="s">
        <v>224</v>
      </c>
      <c r="AL63" s="409"/>
    </row>
    <row r="64" spans="1:51" ht="40.5" customHeight="1">
      <c r="A64" s="35">
        <v>1.4</v>
      </c>
      <c r="B64" s="51" t="s">
        <v>123</v>
      </c>
      <c r="C64" s="20" t="s">
        <v>225</v>
      </c>
      <c r="D64" s="20" t="s">
        <v>223</v>
      </c>
      <c r="E64" s="36">
        <v>96</v>
      </c>
      <c r="F64" s="36">
        <v>96</v>
      </c>
      <c r="G64" s="36">
        <v>96</v>
      </c>
      <c r="H64" s="23">
        <v>7</v>
      </c>
      <c r="I64" s="4">
        <f t="shared" si="14"/>
        <v>3584</v>
      </c>
      <c r="J64" s="4">
        <v>15000</v>
      </c>
      <c r="K64" s="4">
        <f t="shared" si="3"/>
        <v>105000</v>
      </c>
      <c r="L64" s="36" t="s">
        <v>180</v>
      </c>
      <c r="M64" s="112" t="s">
        <v>217</v>
      </c>
      <c r="N64" s="427" t="s">
        <v>209</v>
      </c>
      <c r="O64" s="434">
        <f t="shared" si="7"/>
        <v>14</v>
      </c>
      <c r="P64" s="435">
        <v>45017</v>
      </c>
      <c r="Q64" s="428" t="s">
        <v>210</v>
      </c>
      <c r="R64" s="429">
        <v>45031</v>
      </c>
      <c r="S64" s="428" t="s">
        <v>51</v>
      </c>
      <c r="T64" s="431" t="s">
        <v>79</v>
      </c>
      <c r="U64" s="431" t="s">
        <v>38</v>
      </c>
      <c r="V64" s="431" t="s">
        <v>80</v>
      </c>
      <c r="W64" s="433" t="s">
        <v>80</v>
      </c>
      <c r="X64" s="433" t="s">
        <v>38</v>
      </c>
      <c r="Y64" s="433" t="s">
        <v>38</v>
      </c>
      <c r="Z64" s="426">
        <v>45328</v>
      </c>
      <c r="AA64" s="434" t="s">
        <v>38</v>
      </c>
      <c r="AB64" s="409" t="s">
        <v>52</v>
      </c>
      <c r="AC64" s="435">
        <v>45627</v>
      </c>
      <c r="AD64" s="409" t="s">
        <v>40</v>
      </c>
      <c r="AE64" s="409" t="str">
        <f t="shared" si="8"/>
        <v>FY24 inter</v>
      </c>
      <c r="AF64" s="409" t="str">
        <f t="shared" si="9"/>
        <v>FY25 intra</v>
      </c>
      <c r="AG64" s="409" t="s">
        <v>211</v>
      </c>
      <c r="AH64" s="409">
        <v>44459</v>
      </c>
      <c r="AI64" s="409" t="s">
        <v>127</v>
      </c>
      <c r="AJ64" s="409">
        <v>44480</v>
      </c>
      <c r="AK64" s="409" t="s">
        <v>226</v>
      </c>
      <c r="AL64" s="409"/>
    </row>
    <row r="65" spans="1:41" ht="102" customHeight="1">
      <c r="A65" s="25">
        <v>1.3</v>
      </c>
      <c r="B65" s="51" t="s">
        <v>123</v>
      </c>
      <c r="C65" s="3" t="s">
        <v>227</v>
      </c>
      <c r="D65" s="3" t="s">
        <v>228</v>
      </c>
      <c r="E65" s="23">
        <v>40</v>
      </c>
      <c r="F65" s="23">
        <v>48</v>
      </c>
      <c r="G65" s="445">
        <v>46</v>
      </c>
      <c r="H65" s="23">
        <v>25</v>
      </c>
      <c r="I65" s="4">
        <f t="shared" si="14"/>
        <v>1277.7777777777778</v>
      </c>
      <c r="J65" s="4">
        <v>573</v>
      </c>
      <c r="K65" s="4">
        <f>IF(ISERROR(SEARCH("totals", C65)),H65*J65, "")</f>
        <v>14325</v>
      </c>
      <c r="L65" s="445" t="s">
        <v>229</v>
      </c>
      <c r="M65" s="6" t="s">
        <v>176</v>
      </c>
      <c r="N65" s="10" t="s">
        <v>209</v>
      </c>
      <c r="O65" s="434">
        <f t="shared" si="7"/>
        <v>366</v>
      </c>
      <c r="P65" s="435">
        <v>45139</v>
      </c>
      <c r="Q65" s="428" t="s">
        <v>210</v>
      </c>
      <c r="R65" s="429">
        <v>45505</v>
      </c>
      <c r="S65" s="428" t="s">
        <v>51</v>
      </c>
      <c r="T65" s="431" t="s">
        <v>118</v>
      </c>
      <c r="U65" s="431" t="s">
        <v>38</v>
      </c>
      <c r="V65" s="431" t="s">
        <v>119</v>
      </c>
      <c r="W65" s="433" t="s">
        <v>230</v>
      </c>
      <c r="X65" s="433" t="s">
        <v>38</v>
      </c>
      <c r="Y65" s="433" t="s">
        <v>121</v>
      </c>
      <c r="Z65" s="435">
        <v>45597</v>
      </c>
      <c r="AA65" s="434" t="s">
        <v>38</v>
      </c>
      <c r="AB65" s="427" t="s">
        <v>95</v>
      </c>
      <c r="AC65" s="435">
        <v>45621</v>
      </c>
      <c r="AD65" s="409" t="s">
        <v>40</v>
      </c>
      <c r="AE65" s="409" t="str">
        <f t="shared" si="8"/>
        <v>FY25 inter</v>
      </c>
      <c r="AF65" s="409" t="str">
        <f t="shared" si="9"/>
        <v>FY25 intra</v>
      </c>
      <c r="AG65" s="409" t="s">
        <v>186</v>
      </c>
      <c r="AH65" s="409">
        <v>44459</v>
      </c>
      <c r="AI65" s="409" t="s">
        <v>127</v>
      </c>
      <c r="AJ65" s="409">
        <v>44461</v>
      </c>
      <c r="AK65" s="74" t="s">
        <v>231</v>
      </c>
      <c r="AL65" s="409"/>
    </row>
    <row r="66" spans="1:41" ht="51">
      <c r="A66" s="25">
        <v>1.3</v>
      </c>
      <c r="B66" s="51" t="s">
        <v>123</v>
      </c>
      <c r="C66" s="3" t="s">
        <v>227</v>
      </c>
      <c r="D66" s="3" t="s">
        <v>232</v>
      </c>
      <c r="E66" s="23">
        <v>238</v>
      </c>
      <c r="F66" s="23">
        <v>96</v>
      </c>
      <c r="G66" s="445">
        <v>114</v>
      </c>
      <c r="H66" s="23">
        <v>0</v>
      </c>
      <c r="I66" s="4">
        <f t="shared" si="14"/>
        <v>0</v>
      </c>
      <c r="J66" s="4">
        <v>5115</v>
      </c>
      <c r="K66" s="4">
        <f t="shared" si="3"/>
        <v>0</v>
      </c>
      <c r="L66" s="445" t="s">
        <v>229</v>
      </c>
      <c r="M66" s="6" t="s">
        <v>176</v>
      </c>
      <c r="N66" s="10" t="s">
        <v>209</v>
      </c>
      <c r="O66" s="434">
        <f t="shared" si="7"/>
        <v>366</v>
      </c>
      <c r="P66" s="435">
        <v>45139</v>
      </c>
      <c r="Q66" s="428" t="s">
        <v>210</v>
      </c>
      <c r="R66" s="429">
        <v>45505</v>
      </c>
      <c r="S66" s="428" t="s">
        <v>51</v>
      </c>
      <c r="T66" s="431" t="s">
        <v>118</v>
      </c>
      <c r="U66" s="431" t="s">
        <v>38</v>
      </c>
      <c r="V66" s="431" t="s">
        <v>119</v>
      </c>
      <c r="W66" s="433" t="s">
        <v>230</v>
      </c>
      <c r="X66" s="433" t="s">
        <v>38</v>
      </c>
      <c r="Y66" s="433" t="s">
        <v>121</v>
      </c>
      <c r="Z66" s="435">
        <v>45597</v>
      </c>
      <c r="AA66" s="434" t="s">
        <v>38</v>
      </c>
      <c r="AB66" s="427" t="s">
        <v>95</v>
      </c>
      <c r="AC66" s="435">
        <v>45621</v>
      </c>
      <c r="AD66" s="409" t="s">
        <v>40</v>
      </c>
      <c r="AE66" s="409" t="str">
        <f t="shared" si="8"/>
        <v>FY25 inter</v>
      </c>
      <c r="AF66" s="409" t="str">
        <f t="shared" si="9"/>
        <v>FY25 intra</v>
      </c>
      <c r="AG66" s="409" t="s">
        <v>186</v>
      </c>
      <c r="AH66" s="409">
        <v>44459</v>
      </c>
      <c r="AI66" s="409" t="s">
        <v>127</v>
      </c>
      <c r="AJ66" s="409">
        <v>44461</v>
      </c>
      <c r="AK66" s="409" t="s">
        <v>233</v>
      </c>
      <c r="AL66" s="409"/>
    </row>
    <row r="67" spans="1:41" s="91" customFormat="1" ht="21" customHeight="1" thickBot="1">
      <c r="A67" s="53"/>
      <c r="B67" s="53"/>
      <c r="C67" s="54" t="s">
        <v>234</v>
      </c>
      <c r="D67" s="55"/>
      <c r="E67" s="44"/>
      <c r="F67" s="44"/>
      <c r="G67" s="44" t="s">
        <v>75</v>
      </c>
      <c r="H67" s="56">
        <f>I67/(1360*0.7)</f>
        <v>7.239938944327732</v>
      </c>
      <c r="I67" s="57">
        <f>SUM(I59:I66)</f>
        <v>6892.421875</v>
      </c>
      <c r="J67" s="57"/>
      <c r="K67" s="58">
        <f>SUM(K59:K66)</f>
        <v>142437</v>
      </c>
      <c r="L67" s="58"/>
      <c r="M67" s="58"/>
      <c r="N67" s="58"/>
      <c r="O67" s="77"/>
      <c r="P67" s="77"/>
      <c r="Q67" s="59"/>
      <c r="R67" s="77"/>
      <c r="S67" s="60"/>
      <c r="T67" s="59"/>
      <c r="U67" s="60"/>
      <c r="V67" s="60"/>
      <c r="W67" s="59"/>
      <c r="X67" s="60"/>
      <c r="Y67" s="60"/>
      <c r="Z67" s="77"/>
      <c r="AA67" s="60"/>
      <c r="AB67" s="60"/>
      <c r="AC67" s="77"/>
      <c r="AD67" s="59"/>
      <c r="AE67" s="77" t="str">
        <f t="shared" si="8"/>
        <v/>
      </c>
      <c r="AF67" s="59" t="str">
        <f t="shared" si="9"/>
        <v/>
      </c>
      <c r="AG67" s="59"/>
      <c r="AH67" s="59"/>
      <c r="AI67" s="59"/>
      <c r="AJ67" s="59"/>
      <c r="AK67" s="59"/>
      <c r="AL67" s="59"/>
      <c r="AM67" s="11"/>
      <c r="AN67" s="11"/>
      <c r="AO67" s="11"/>
    </row>
    <row r="68" spans="1:41" ht="21.6" customHeight="1" thickTop="1">
      <c r="A68" s="25">
        <v>1.3</v>
      </c>
      <c r="B68" s="48" t="s">
        <v>123</v>
      </c>
      <c r="C68" s="3" t="s">
        <v>235</v>
      </c>
      <c r="D68" s="3" t="s">
        <v>236</v>
      </c>
      <c r="E68" s="23">
        <v>48</v>
      </c>
      <c r="F68" s="23">
        <v>48</v>
      </c>
      <c r="G68" s="23">
        <v>48</v>
      </c>
      <c r="H68" s="23">
        <v>1</v>
      </c>
      <c r="I68" s="4">
        <f>E68*F68*G68/1728*H68</f>
        <v>64</v>
      </c>
      <c r="J68" s="4">
        <v>1500</v>
      </c>
      <c r="K68" s="4">
        <f t="shared" si="3"/>
        <v>1500</v>
      </c>
      <c r="L68" s="445" t="s">
        <v>92</v>
      </c>
      <c r="M68" s="6" t="s">
        <v>176</v>
      </c>
      <c r="N68" s="10" t="s">
        <v>237</v>
      </c>
      <c r="O68" s="434">
        <f t="shared" si="7"/>
        <v>61</v>
      </c>
      <c r="P68" s="435">
        <v>45444</v>
      </c>
      <c r="Q68" s="428" t="s">
        <v>238</v>
      </c>
      <c r="R68" s="429">
        <v>45505</v>
      </c>
      <c r="S68" s="428" t="s">
        <v>51</v>
      </c>
      <c r="T68" s="431" t="s">
        <v>118</v>
      </c>
      <c r="U68" s="431" t="s">
        <v>38</v>
      </c>
      <c r="V68" s="431" t="s">
        <v>119</v>
      </c>
      <c r="W68" s="433" t="s">
        <v>230</v>
      </c>
      <c r="X68" s="433" t="s">
        <v>38</v>
      </c>
      <c r="Y68" s="433" t="s">
        <v>121</v>
      </c>
      <c r="Z68" s="435">
        <v>45597</v>
      </c>
      <c r="AA68" s="434" t="s">
        <v>38</v>
      </c>
      <c r="AB68" s="427" t="s">
        <v>95</v>
      </c>
      <c r="AC68" s="435">
        <v>45621</v>
      </c>
      <c r="AD68" s="409" t="s">
        <v>40</v>
      </c>
      <c r="AE68" s="409" t="str">
        <f t="shared" ref="AE68:AE86" si="15">IF(ISBLANK(Z68),"",IFERROR(LOOKUP(Z68,FY_dates, inter_label),Z68))</f>
        <v>FY25 inter</v>
      </c>
      <c r="AF68" s="409" t="str">
        <f t="shared" ref="AF68:AF86" si="16">IF(ISBLANK(AC68),"",IFERROR(LOOKUP(AC68,FY_dates, intra_label),AC68))</f>
        <v>FY25 intra</v>
      </c>
      <c r="AG68" s="409" t="s">
        <v>239</v>
      </c>
      <c r="AH68" s="409">
        <v>44459</v>
      </c>
      <c r="AI68" s="409" t="s">
        <v>127</v>
      </c>
      <c r="AJ68" s="409">
        <v>44459</v>
      </c>
      <c r="AK68" s="409"/>
      <c r="AL68" s="409"/>
    </row>
    <row r="69" spans="1:41" s="91" customFormat="1" ht="21" thickBot="1">
      <c r="A69" s="53"/>
      <c r="B69" s="53"/>
      <c r="C69" s="54" t="s">
        <v>240</v>
      </c>
      <c r="D69" s="55"/>
      <c r="E69" s="44"/>
      <c r="F69" s="44"/>
      <c r="G69" s="44"/>
      <c r="H69" s="56">
        <f>I69/(1360*0.7)</f>
        <v>6.7226890756302532E-2</v>
      </c>
      <c r="I69" s="57">
        <f>I68</f>
        <v>64</v>
      </c>
      <c r="J69" s="57"/>
      <c r="K69" s="58">
        <f>SUM(K68:K68)</f>
        <v>1500</v>
      </c>
      <c r="L69" s="58"/>
      <c r="M69" s="58"/>
      <c r="N69" s="58"/>
      <c r="O69" s="77"/>
      <c r="P69" s="77"/>
      <c r="Q69" s="59"/>
      <c r="R69" s="77"/>
      <c r="S69" s="60"/>
      <c r="T69" s="59"/>
      <c r="U69" s="60"/>
      <c r="V69" s="60"/>
      <c r="W69" s="59"/>
      <c r="X69" s="60"/>
      <c r="Y69" s="60"/>
      <c r="Z69" s="77"/>
      <c r="AA69" s="60"/>
      <c r="AB69" s="60"/>
      <c r="AC69" s="77"/>
      <c r="AD69" s="59"/>
      <c r="AE69" s="77" t="str">
        <f t="shared" si="15"/>
        <v/>
      </c>
      <c r="AF69" s="59" t="str">
        <f t="shared" si="16"/>
        <v/>
      </c>
      <c r="AG69" s="59"/>
      <c r="AH69" s="59"/>
      <c r="AI69" s="59"/>
      <c r="AJ69" s="59"/>
      <c r="AK69" s="59"/>
      <c r="AL69" s="59"/>
      <c r="AM69" s="11"/>
      <c r="AN69" s="11"/>
      <c r="AO69" s="11"/>
    </row>
    <row r="70" spans="1:41" ht="68.099999999999994">
      <c r="A70" s="25">
        <v>1.3</v>
      </c>
      <c r="B70" s="48" t="s">
        <v>123</v>
      </c>
      <c r="C70" s="3" t="s">
        <v>241</v>
      </c>
      <c r="D70" s="3" t="s">
        <v>242</v>
      </c>
      <c r="E70" s="23">
        <v>40</v>
      </c>
      <c r="F70" s="23">
        <v>48</v>
      </c>
      <c r="G70" s="445">
        <v>46</v>
      </c>
      <c r="H70" s="23">
        <v>16</v>
      </c>
      <c r="I70" s="4">
        <f t="shared" ref="I70:I77" si="17">E70*F70*G70/1728*H70</f>
        <v>817.77777777777783</v>
      </c>
      <c r="J70" s="4">
        <v>573</v>
      </c>
      <c r="K70" s="4">
        <f t="shared" ref="K70:K84" si="18">IF(ISERROR(SEARCH("totals", C70)),H70*J70, "")</f>
        <v>9168</v>
      </c>
      <c r="L70" s="445" t="s">
        <v>35</v>
      </c>
      <c r="M70" s="6" t="s">
        <v>176</v>
      </c>
      <c r="N70" s="10" t="s">
        <v>243</v>
      </c>
      <c r="O70" s="434">
        <f t="shared" si="7"/>
        <v>122</v>
      </c>
      <c r="P70" s="435">
        <v>45017</v>
      </c>
      <c r="Q70" s="428" t="s">
        <v>244</v>
      </c>
      <c r="R70" s="429">
        <v>45139</v>
      </c>
      <c r="S70" s="428" t="s">
        <v>119</v>
      </c>
      <c r="T70" s="431" t="s">
        <v>245</v>
      </c>
      <c r="U70" s="431" t="s">
        <v>38</v>
      </c>
      <c r="V70" s="431" t="s">
        <v>119</v>
      </c>
      <c r="W70" s="433" t="s">
        <v>230</v>
      </c>
      <c r="X70" s="433" t="s">
        <v>38</v>
      </c>
      <c r="Y70" s="433" t="s">
        <v>246</v>
      </c>
      <c r="Z70" s="435">
        <v>45231</v>
      </c>
      <c r="AA70" s="434" t="s">
        <v>38</v>
      </c>
      <c r="AB70" s="427" t="s">
        <v>95</v>
      </c>
      <c r="AC70" s="435">
        <v>45306</v>
      </c>
      <c r="AD70" s="409" t="s">
        <v>40</v>
      </c>
      <c r="AE70" s="409" t="str">
        <f t="shared" si="15"/>
        <v>FY24 inter</v>
      </c>
      <c r="AF70" s="409" t="str">
        <f t="shared" si="16"/>
        <v>FY24 intra</v>
      </c>
      <c r="AG70" s="409" t="s">
        <v>186</v>
      </c>
      <c r="AH70" s="409">
        <v>44459</v>
      </c>
      <c r="AI70" s="409" t="s">
        <v>127</v>
      </c>
      <c r="AJ70" s="409">
        <v>44461</v>
      </c>
      <c r="AK70" s="409" t="s">
        <v>247</v>
      </c>
      <c r="AL70" s="409"/>
    </row>
    <row r="71" spans="1:41" ht="51">
      <c r="A71" s="25">
        <v>1.3</v>
      </c>
      <c r="B71" s="48" t="s">
        <v>123</v>
      </c>
      <c r="C71" s="3" t="s">
        <v>241</v>
      </c>
      <c r="D71" s="3" t="s">
        <v>248</v>
      </c>
      <c r="E71" s="23">
        <v>40</v>
      </c>
      <c r="F71" s="23">
        <v>48</v>
      </c>
      <c r="G71" s="445">
        <v>46</v>
      </c>
      <c r="H71" s="23">
        <v>0</v>
      </c>
      <c r="I71" s="4">
        <f t="shared" si="17"/>
        <v>0</v>
      </c>
      <c r="J71" s="4">
        <v>573</v>
      </c>
      <c r="K71" s="4">
        <f t="shared" si="18"/>
        <v>0</v>
      </c>
      <c r="L71" s="445" t="s">
        <v>35</v>
      </c>
      <c r="M71" s="6" t="s">
        <v>176</v>
      </c>
      <c r="N71" s="10" t="s">
        <v>243</v>
      </c>
      <c r="O71" s="434">
        <f t="shared" si="7"/>
        <v>122</v>
      </c>
      <c r="P71" s="435">
        <v>45017</v>
      </c>
      <c r="Q71" s="428" t="s">
        <v>244</v>
      </c>
      <c r="R71" s="429">
        <v>45139</v>
      </c>
      <c r="S71" s="428" t="s">
        <v>119</v>
      </c>
      <c r="T71" s="431" t="s">
        <v>245</v>
      </c>
      <c r="U71" s="431" t="s">
        <v>38</v>
      </c>
      <c r="V71" s="431" t="s">
        <v>119</v>
      </c>
      <c r="W71" s="433" t="s">
        <v>230</v>
      </c>
      <c r="X71" s="433" t="s">
        <v>38</v>
      </c>
      <c r="Y71" s="433" t="s">
        <v>246</v>
      </c>
      <c r="Z71" s="435">
        <v>45231</v>
      </c>
      <c r="AA71" s="434" t="s">
        <v>38</v>
      </c>
      <c r="AB71" s="427" t="s">
        <v>95</v>
      </c>
      <c r="AC71" s="435">
        <v>45306</v>
      </c>
      <c r="AD71" s="409" t="s">
        <v>40</v>
      </c>
      <c r="AE71" s="409" t="str">
        <f t="shared" si="15"/>
        <v>FY24 inter</v>
      </c>
      <c r="AF71" s="409" t="str">
        <f t="shared" si="16"/>
        <v>FY24 intra</v>
      </c>
      <c r="AG71" s="409" t="s">
        <v>186</v>
      </c>
      <c r="AH71" s="409">
        <v>44459</v>
      </c>
      <c r="AI71" s="409" t="s">
        <v>127</v>
      </c>
      <c r="AJ71" s="409">
        <v>44461</v>
      </c>
      <c r="AK71" s="409" t="s">
        <v>249</v>
      </c>
      <c r="AL71" s="409"/>
    </row>
    <row r="72" spans="1:41" ht="33.950000000000003">
      <c r="A72" s="25">
        <v>1.3</v>
      </c>
      <c r="B72" s="48" t="s">
        <v>123</v>
      </c>
      <c r="C72" s="3" t="s">
        <v>178</v>
      </c>
      <c r="D72" s="3" t="s">
        <v>250</v>
      </c>
      <c r="E72" s="23">
        <v>40</v>
      </c>
      <c r="F72" s="23">
        <v>21</v>
      </c>
      <c r="G72" s="23">
        <v>64</v>
      </c>
      <c r="H72" s="23">
        <v>1</v>
      </c>
      <c r="I72" s="4">
        <f>E72*F72*G72/1728*H72</f>
        <v>31.111111111111111</v>
      </c>
      <c r="J72" s="4">
        <v>701</v>
      </c>
      <c r="K72" s="4">
        <f t="shared" si="18"/>
        <v>701</v>
      </c>
      <c r="L72" s="445" t="s">
        <v>92</v>
      </c>
      <c r="M72" s="38" t="s">
        <v>176</v>
      </c>
      <c r="N72" s="10" t="s">
        <v>251</v>
      </c>
      <c r="O72" s="434">
        <f t="shared" si="7"/>
        <v>212</v>
      </c>
      <c r="P72" s="435">
        <v>44927</v>
      </c>
      <c r="Q72" s="428" t="s">
        <v>244</v>
      </c>
      <c r="R72" s="429">
        <v>45139</v>
      </c>
      <c r="S72" s="428" t="s">
        <v>119</v>
      </c>
      <c r="T72" s="431" t="s">
        <v>245</v>
      </c>
      <c r="U72" s="431" t="s">
        <v>38</v>
      </c>
      <c r="V72" s="431" t="s">
        <v>119</v>
      </c>
      <c r="W72" s="433" t="s">
        <v>230</v>
      </c>
      <c r="X72" s="433" t="s">
        <v>38</v>
      </c>
      <c r="Y72" s="433" t="s">
        <v>246</v>
      </c>
      <c r="Z72" s="435">
        <v>45231</v>
      </c>
      <c r="AA72" s="434" t="s">
        <v>38</v>
      </c>
      <c r="AB72" s="427" t="s">
        <v>95</v>
      </c>
      <c r="AC72" s="435">
        <v>45306</v>
      </c>
      <c r="AD72" s="409" t="s">
        <v>40</v>
      </c>
      <c r="AE72" s="409" t="str">
        <f t="shared" si="15"/>
        <v>FY24 inter</v>
      </c>
      <c r="AF72" s="409" t="str">
        <f t="shared" si="16"/>
        <v>FY24 intra</v>
      </c>
      <c r="AG72" s="409" t="s">
        <v>182</v>
      </c>
      <c r="AH72" s="409">
        <v>44482</v>
      </c>
      <c r="AI72" s="409" t="s">
        <v>127</v>
      </c>
      <c r="AJ72" s="409">
        <v>44482</v>
      </c>
      <c r="AK72" s="409" t="s">
        <v>252</v>
      </c>
      <c r="AL72" s="409"/>
    </row>
    <row r="73" spans="1:41" ht="33.950000000000003">
      <c r="A73" s="25">
        <v>1.5</v>
      </c>
      <c r="B73" s="48" t="s">
        <v>123</v>
      </c>
      <c r="C73" s="3" t="s">
        <v>253</v>
      </c>
      <c r="D73" s="3" t="s">
        <v>254</v>
      </c>
      <c r="E73" s="92">
        <v>62</v>
      </c>
      <c r="F73" s="92">
        <v>38</v>
      </c>
      <c r="G73" s="92">
        <v>41</v>
      </c>
      <c r="H73" s="23">
        <v>1</v>
      </c>
      <c r="I73" s="4">
        <f t="shared" si="17"/>
        <v>55.900462962962962</v>
      </c>
      <c r="J73" s="4">
        <v>836</v>
      </c>
      <c r="K73" s="4">
        <f t="shared" si="18"/>
        <v>836</v>
      </c>
      <c r="L73" s="445" t="s">
        <v>92</v>
      </c>
      <c r="M73" s="6" t="s">
        <v>176</v>
      </c>
      <c r="N73" s="10" t="s">
        <v>255</v>
      </c>
      <c r="O73" s="434">
        <f t="shared" si="7"/>
        <v>426</v>
      </c>
      <c r="P73" s="435">
        <v>44713</v>
      </c>
      <c r="Q73" s="428" t="s">
        <v>244</v>
      </c>
      <c r="R73" s="429">
        <v>45139</v>
      </c>
      <c r="S73" s="428" t="s">
        <v>119</v>
      </c>
      <c r="T73" s="431" t="s">
        <v>245</v>
      </c>
      <c r="U73" s="431" t="s">
        <v>38</v>
      </c>
      <c r="V73" s="431" t="s">
        <v>119</v>
      </c>
      <c r="W73" s="433" t="s">
        <v>120</v>
      </c>
      <c r="X73" s="433" t="s">
        <v>38</v>
      </c>
      <c r="Y73" s="433" t="s">
        <v>246</v>
      </c>
      <c r="Z73" s="435">
        <v>45231</v>
      </c>
      <c r="AA73" s="434" t="s">
        <v>38</v>
      </c>
      <c r="AB73" s="427" t="s">
        <v>95</v>
      </c>
      <c r="AC73" s="435">
        <v>45306</v>
      </c>
      <c r="AD73" s="409" t="s">
        <v>40</v>
      </c>
      <c r="AE73" s="409" t="str">
        <f t="shared" si="15"/>
        <v>FY24 inter</v>
      </c>
      <c r="AF73" s="409" t="str">
        <f t="shared" si="16"/>
        <v>FY24 intra</v>
      </c>
      <c r="AG73" s="409" t="s">
        <v>177</v>
      </c>
      <c r="AH73" s="409">
        <v>44482</v>
      </c>
      <c r="AI73" s="409" t="s">
        <v>127</v>
      </c>
      <c r="AJ73" s="409">
        <v>44482</v>
      </c>
      <c r="AK73" s="409" t="s">
        <v>256</v>
      </c>
      <c r="AL73" s="409"/>
    </row>
    <row r="74" spans="1:41" ht="63">
      <c r="A74" s="35">
        <v>1.4</v>
      </c>
      <c r="B74" s="48" t="s">
        <v>123</v>
      </c>
      <c r="C74" s="20" t="s">
        <v>257</v>
      </c>
      <c r="D74" s="1" t="s">
        <v>258</v>
      </c>
      <c r="E74" s="36">
        <v>48</v>
      </c>
      <c r="F74" s="36">
        <v>48</v>
      </c>
      <c r="G74" s="36">
        <v>36</v>
      </c>
      <c r="H74" s="23">
        <v>1</v>
      </c>
      <c r="I74" s="4">
        <f t="shared" si="17"/>
        <v>48</v>
      </c>
      <c r="J74" s="4">
        <v>275</v>
      </c>
      <c r="K74" s="4">
        <f t="shared" si="18"/>
        <v>275</v>
      </c>
      <c r="L74" s="445" t="s">
        <v>180</v>
      </c>
      <c r="M74" s="8" t="s">
        <v>117</v>
      </c>
      <c r="N74" s="427" t="s">
        <v>243</v>
      </c>
      <c r="O74" s="434">
        <f t="shared" si="7"/>
        <v>14</v>
      </c>
      <c r="P74" s="435">
        <v>45139</v>
      </c>
      <c r="Q74" s="428" t="s">
        <v>244</v>
      </c>
      <c r="R74" s="429">
        <v>45153</v>
      </c>
      <c r="S74" s="428" t="s">
        <v>119</v>
      </c>
      <c r="T74" s="431" t="s">
        <v>245</v>
      </c>
      <c r="U74" s="431" t="s">
        <v>38</v>
      </c>
      <c r="V74" s="431" t="s">
        <v>119</v>
      </c>
      <c r="W74" s="433" t="s">
        <v>120</v>
      </c>
      <c r="X74" s="433" t="s">
        <v>38</v>
      </c>
      <c r="Y74" s="433" t="s">
        <v>246</v>
      </c>
      <c r="Z74" s="435">
        <v>45231</v>
      </c>
      <c r="AA74" s="434" t="s">
        <v>38</v>
      </c>
      <c r="AB74" s="427" t="s">
        <v>95</v>
      </c>
      <c r="AC74" s="435">
        <v>45261</v>
      </c>
      <c r="AD74" s="409" t="s">
        <v>57</v>
      </c>
      <c r="AE74" s="409" t="str">
        <f t="shared" si="15"/>
        <v>FY24 inter</v>
      </c>
      <c r="AF74" s="409" t="str">
        <f t="shared" si="16"/>
        <v>FY24 intra</v>
      </c>
      <c r="AG74" s="409" t="s">
        <v>126</v>
      </c>
      <c r="AH74" s="409">
        <v>44482</v>
      </c>
      <c r="AI74" s="409" t="s">
        <v>127</v>
      </c>
      <c r="AJ74" s="409">
        <v>44482</v>
      </c>
      <c r="AK74" s="409" t="s">
        <v>259</v>
      </c>
      <c r="AL74" s="409"/>
    </row>
    <row r="75" spans="1:41" ht="51">
      <c r="A75" s="25">
        <v>1.3</v>
      </c>
      <c r="B75" s="48" t="s">
        <v>123</v>
      </c>
      <c r="C75" s="3" t="s">
        <v>227</v>
      </c>
      <c r="D75" s="3" t="s">
        <v>260</v>
      </c>
      <c r="E75" s="23">
        <v>40</v>
      </c>
      <c r="F75" s="23">
        <v>48</v>
      </c>
      <c r="G75" s="445">
        <v>46</v>
      </c>
      <c r="H75" s="23">
        <v>12</v>
      </c>
      <c r="I75" s="4">
        <f t="shared" si="17"/>
        <v>613.33333333333337</v>
      </c>
      <c r="J75" s="4">
        <v>573</v>
      </c>
      <c r="K75" s="4">
        <f t="shared" si="18"/>
        <v>6876</v>
      </c>
      <c r="L75" s="445" t="s">
        <v>229</v>
      </c>
      <c r="M75" s="6" t="s">
        <v>176</v>
      </c>
      <c r="N75" s="10" t="s">
        <v>243</v>
      </c>
      <c r="O75" s="434">
        <f t="shared" si="7"/>
        <v>397</v>
      </c>
      <c r="P75" s="435">
        <v>45108</v>
      </c>
      <c r="Q75" s="428" t="s">
        <v>244</v>
      </c>
      <c r="R75" s="429">
        <v>45505</v>
      </c>
      <c r="S75" s="428" t="s">
        <v>119</v>
      </c>
      <c r="T75" s="431" t="s">
        <v>245</v>
      </c>
      <c r="U75" s="431" t="s">
        <v>38</v>
      </c>
      <c r="V75" s="431" t="s">
        <v>119</v>
      </c>
      <c r="W75" s="433" t="s">
        <v>230</v>
      </c>
      <c r="X75" s="433" t="s">
        <v>38</v>
      </c>
      <c r="Y75" s="433" t="s">
        <v>246</v>
      </c>
      <c r="Z75" s="435">
        <v>45597</v>
      </c>
      <c r="AA75" s="434" t="s">
        <v>38</v>
      </c>
      <c r="AB75" s="427" t="s">
        <v>95</v>
      </c>
      <c r="AC75" s="435">
        <v>45621</v>
      </c>
      <c r="AD75" s="409" t="s">
        <v>40</v>
      </c>
      <c r="AE75" s="409" t="str">
        <f t="shared" si="15"/>
        <v>FY25 inter</v>
      </c>
      <c r="AF75" s="409" t="str">
        <f t="shared" si="16"/>
        <v>FY25 intra</v>
      </c>
      <c r="AG75" s="409" t="s">
        <v>186</v>
      </c>
      <c r="AH75" s="409">
        <v>44459</v>
      </c>
      <c r="AI75" s="409" t="s">
        <v>127</v>
      </c>
      <c r="AJ75" s="409">
        <v>44461</v>
      </c>
      <c r="AK75" s="409" t="s">
        <v>261</v>
      </c>
      <c r="AL75" s="409"/>
    </row>
    <row r="76" spans="1:41" ht="33.950000000000003">
      <c r="A76" s="25">
        <v>1.3</v>
      </c>
      <c r="B76" s="48" t="s">
        <v>123</v>
      </c>
      <c r="C76" s="3" t="s">
        <v>187</v>
      </c>
      <c r="D76" s="3" t="s">
        <v>262</v>
      </c>
      <c r="E76" s="23">
        <v>32</v>
      </c>
      <c r="F76" s="23">
        <v>31</v>
      </c>
      <c r="G76" s="23">
        <v>89</v>
      </c>
      <c r="H76" s="23">
        <v>1</v>
      </c>
      <c r="I76" s="4">
        <f t="shared" si="17"/>
        <v>51.092592592592595</v>
      </c>
      <c r="J76" s="4">
        <v>1035</v>
      </c>
      <c r="K76" s="4">
        <f t="shared" si="18"/>
        <v>1035</v>
      </c>
      <c r="L76" s="445" t="s">
        <v>180</v>
      </c>
      <c r="M76" s="38" t="s">
        <v>176</v>
      </c>
      <c r="N76" s="10" t="s">
        <v>251</v>
      </c>
      <c r="O76" s="434">
        <f t="shared" si="7"/>
        <v>213</v>
      </c>
      <c r="P76" s="435">
        <v>45292</v>
      </c>
      <c r="Q76" s="428" t="s">
        <v>244</v>
      </c>
      <c r="R76" s="429">
        <v>45505</v>
      </c>
      <c r="S76" s="428" t="s">
        <v>119</v>
      </c>
      <c r="T76" s="431" t="s">
        <v>245</v>
      </c>
      <c r="U76" s="431" t="s">
        <v>38</v>
      </c>
      <c r="V76" s="431" t="s">
        <v>119</v>
      </c>
      <c r="W76" s="433" t="s">
        <v>230</v>
      </c>
      <c r="X76" s="433" t="s">
        <v>38</v>
      </c>
      <c r="Y76" s="433" t="s">
        <v>246</v>
      </c>
      <c r="Z76" s="435">
        <v>45597</v>
      </c>
      <c r="AA76" s="434" t="s">
        <v>38</v>
      </c>
      <c r="AB76" s="427" t="s">
        <v>95</v>
      </c>
      <c r="AC76" s="435">
        <v>45621</v>
      </c>
      <c r="AD76" s="409" t="s">
        <v>40</v>
      </c>
      <c r="AE76" s="409" t="str">
        <f t="shared" si="15"/>
        <v>FY25 inter</v>
      </c>
      <c r="AF76" s="409" t="str">
        <f t="shared" si="16"/>
        <v>FY25 intra</v>
      </c>
      <c r="AG76" s="409" t="s">
        <v>182</v>
      </c>
      <c r="AH76" s="409">
        <v>44482</v>
      </c>
      <c r="AI76" s="409" t="s">
        <v>127</v>
      </c>
      <c r="AJ76" s="409">
        <v>44482</v>
      </c>
      <c r="AK76" s="409" t="s">
        <v>263</v>
      </c>
      <c r="AL76" s="409"/>
    </row>
    <row r="77" spans="1:41" ht="50.25" customHeight="1">
      <c r="A77" s="25">
        <v>1.5</v>
      </c>
      <c r="B77" s="48" t="s">
        <v>123</v>
      </c>
      <c r="C77" s="3" t="s">
        <v>264</v>
      </c>
      <c r="D77" s="3" t="s">
        <v>265</v>
      </c>
      <c r="E77" s="92">
        <v>62</v>
      </c>
      <c r="F77" s="92">
        <v>48</v>
      </c>
      <c r="G77" s="92">
        <v>44</v>
      </c>
      <c r="H77" s="23">
        <v>1</v>
      </c>
      <c r="I77" s="4">
        <f t="shared" si="17"/>
        <v>75.777777777777771</v>
      </c>
      <c r="J77" s="4">
        <v>1694</v>
      </c>
      <c r="K77" s="4">
        <f t="shared" si="18"/>
        <v>1694</v>
      </c>
      <c r="L77" s="445" t="s">
        <v>180</v>
      </c>
      <c r="M77" s="6" t="s">
        <v>176</v>
      </c>
      <c r="N77" s="10" t="s">
        <v>255</v>
      </c>
      <c r="O77" s="434">
        <f t="shared" si="7"/>
        <v>792</v>
      </c>
      <c r="P77" s="435">
        <v>44713</v>
      </c>
      <c r="Q77" s="428" t="s">
        <v>244</v>
      </c>
      <c r="R77" s="429">
        <v>45505</v>
      </c>
      <c r="S77" s="428" t="s">
        <v>119</v>
      </c>
      <c r="T77" s="431" t="s">
        <v>245</v>
      </c>
      <c r="U77" s="431" t="s">
        <v>38</v>
      </c>
      <c r="V77" s="431" t="s">
        <v>119</v>
      </c>
      <c r="W77" s="433" t="s">
        <v>120</v>
      </c>
      <c r="X77" s="433" t="s">
        <v>38</v>
      </c>
      <c r="Y77" s="433" t="s">
        <v>246</v>
      </c>
      <c r="Z77" s="435">
        <v>45597</v>
      </c>
      <c r="AA77" s="434" t="s">
        <v>38</v>
      </c>
      <c r="AB77" s="427" t="s">
        <v>95</v>
      </c>
      <c r="AC77" s="435">
        <v>45621</v>
      </c>
      <c r="AD77" s="409" t="s">
        <v>40</v>
      </c>
      <c r="AE77" s="409" t="str">
        <f t="shared" si="15"/>
        <v>FY25 inter</v>
      </c>
      <c r="AF77" s="409" t="str">
        <f t="shared" si="16"/>
        <v>FY25 intra</v>
      </c>
      <c r="AG77" s="409" t="s">
        <v>177</v>
      </c>
      <c r="AH77" s="409">
        <v>44482</v>
      </c>
      <c r="AI77" s="409" t="s">
        <v>127</v>
      </c>
      <c r="AJ77" s="409">
        <v>44482</v>
      </c>
      <c r="AK77" s="409" t="s">
        <v>266</v>
      </c>
      <c r="AL77" s="409"/>
    </row>
    <row r="78" spans="1:41" s="91" customFormat="1" ht="33.75" customHeight="1" thickBot="1">
      <c r="A78" s="53"/>
      <c r="B78" s="53"/>
      <c r="C78" s="54" t="s">
        <v>267</v>
      </c>
      <c r="D78" s="55"/>
      <c r="E78" s="44"/>
      <c r="F78" s="44"/>
      <c r="G78" s="44" t="s">
        <v>75</v>
      </c>
      <c r="H78" s="56">
        <f>I78/(1360*0.7)</f>
        <v>1.778354049953315</v>
      </c>
      <c r="I78" s="57">
        <f>SUM(I70:I77)</f>
        <v>1692.9930555555557</v>
      </c>
      <c r="J78" s="57"/>
      <c r="K78" s="57">
        <f>SUM(K70:K77)</f>
        <v>20585</v>
      </c>
      <c r="L78" s="58"/>
      <c r="M78" s="58"/>
      <c r="N78" s="58"/>
      <c r="O78" s="77"/>
      <c r="P78" s="77"/>
      <c r="Q78" s="59"/>
      <c r="R78" s="77"/>
      <c r="S78" s="60"/>
      <c r="T78" s="59"/>
      <c r="U78" s="60"/>
      <c r="V78" s="60"/>
      <c r="W78" s="59"/>
      <c r="X78" s="60"/>
      <c r="Y78" s="60"/>
      <c r="Z78" s="77"/>
      <c r="AA78" s="60"/>
      <c r="AB78" s="60"/>
      <c r="AC78" s="77"/>
      <c r="AD78" s="59"/>
      <c r="AE78" s="77" t="str">
        <f t="shared" si="15"/>
        <v/>
      </c>
      <c r="AF78" s="59" t="str">
        <f t="shared" si="16"/>
        <v/>
      </c>
      <c r="AG78" s="59"/>
      <c r="AH78" s="59"/>
      <c r="AI78" s="59"/>
      <c r="AJ78" s="59"/>
      <c r="AK78" s="59"/>
      <c r="AL78" s="59"/>
      <c r="AM78" s="11"/>
      <c r="AN78" s="11"/>
      <c r="AO78" s="11"/>
    </row>
    <row r="79" spans="1:41" ht="33.950000000000003">
      <c r="A79" s="72">
        <v>1.3</v>
      </c>
      <c r="B79" s="48" t="s">
        <v>123</v>
      </c>
      <c r="C79" s="1" t="s">
        <v>268</v>
      </c>
      <c r="D79" s="1" t="s">
        <v>269</v>
      </c>
      <c r="E79" s="38">
        <v>41</v>
      </c>
      <c r="F79" s="38">
        <v>41</v>
      </c>
      <c r="G79" s="38">
        <v>69</v>
      </c>
      <c r="H79" s="38">
        <v>4</v>
      </c>
      <c r="I79" s="4">
        <f t="shared" ref="I79:I84" si="19">E79*F79*G79/1728*H79</f>
        <v>268.49305555555554</v>
      </c>
      <c r="J79" s="4">
        <v>750</v>
      </c>
      <c r="K79" s="4">
        <f t="shared" si="18"/>
        <v>3000</v>
      </c>
      <c r="L79" s="445" t="s">
        <v>35</v>
      </c>
      <c r="M79" s="6" t="s">
        <v>176</v>
      </c>
      <c r="N79" s="10" t="s">
        <v>270</v>
      </c>
      <c r="O79" s="434">
        <f t="shared" si="7"/>
        <v>426</v>
      </c>
      <c r="P79" s="435">
        <v>44713</v>
      </c>
      <c r="Q79" s="428" t="s">
        <v>271</v>
      </c>
      <c r="R79" s="429">
        <v>45139</v>
      </c>
      <c r="S79" s="428" t="s">
        <v>272</v>
      </c>
      <c r="T79" s="431" t="s">
        <v>271</v>
      </c>
      <c r="U79" s="431" t="s">
        <v>38</v>
      </c>
      <c r="V79" s="431" t="s">
        <v>119</v>
      </c>
      <c r="W79" s="433" t="s">
        <v>230</v>
      </c>
      <c r="X79" s="433" t="s">
        <v>38</v>
      </c>
      <c r="Y79" s="433" t="s">
        <v>121</v>
      </c>
      <c r="Z79" s="435">
        <v>45231</v>
      </c>
      <c r="AA79" s="434" t="s">
        <v>38</v>
      </c>
      <c r="AB79" s="427" t="s">
        <v>95</v>
      </c>
      <c r="AC79" s="435">
        <v>45306</v>
      </c>
      <c r="AD79" s="409" t="s">
        <v>40</v>
      </c>
      <c r="AE79" s="409" t="str">
        <f t="shared" si="15"/>
        <v>FY24 inter</v>
      </c>
      <c r="AF79" s="409" t="str">
        <f t="shared" si="16"/>
        <v>FY24 intra</v>
      </c>
      <c r="AG79" s="409" t="s">
        <v>273</v>
      </c>
      <c r="AH79" s="409">
        <v>44461</v>
      </c>
      <c r="AI79" s="409" t="s">
        <v>127</v>
      </c>
      <c r="AJ79" s="409">
        <v>44461</v>
      </c>
      <c r="AK79" s="409" t="s">
        <v>274</v>
      </c>
      <c r="AL79" s="409"/>
    </row>
    <row r="80" spans="1:41" ht="51">
      <c r="A80" s="72">
        <v>1.3</v>
      </c>
      <c r="B80" s="48" t="s">
        <v>123</v>
      </c>
      <c r="C80" s="1" t="s">
        <v>268</v>
      </c>
      <c r="D80" s="1" t="s">
        <v>275</v>
      </c>
      <c r="E80" s="38">
        <v>41</v>
      </c>
      <c r="F80" s="38">
        <v>41</v>
      </c>
      <c r="G80" s="38">
        <v>69</v>
      </c>
      <c r="H80" s="38">
        <v>1</v>
      </c>
      <c r="I80" s="4">
        <f t="shared" si="19"/>
        <v>67.123263888888886</v>
      </c>
      <c r="J80" s="4">
        <v>750</v>
      </c>
      <c r="K80" s="4">
        <f t="shared" si="18"/>
        <v>750</v>
      </c>
      <c r="L80" s="445" t="s">
        <v>35</v>
      </c>
      <c r="M80" s="6" t="s">
        <v>176</v>
      </c>
      <c r="N80" s="10" t="s">
        <v>270</v>
      </c>
      <c r="O80" s="434">
        <f t="shared" si="7"/>
        <v>426</v>
      </c>
      <c r="P80" s="435">
        <v>44713</v>
      </c>
      <c r="Q80" s="428" t="s">
        <v>271</v>
      </c>
      <c r="R80" s="429">
        <v>45139</v>
      </c>
      <c r="S80" s="428" t="s">
        <v>272</v>
      </c>
      <c r="T80" s="431" t="s">
        <v>271</v>
      </c>
      <c r="U80" s="431" t="s">
        <v>38</v>
      </c>
      <c r="V80" s="431" t="s">
        <v>119</v>
      </c>
      <c r="W80" s="433" t="s">
        <v>230</v>
      </c>
      <c r="X80" s="433" t="s">
        <v>38</v>
      </c>
      <c r="Y80" s="433" t="s">
        <v>121</v>
      </c>
      <c r="Z80" s="435">
        <v>45231</v>
      </c>
      <c r="AA80" s="434" t="s">
        <v>38</v>
      </c>
      <c r="AB80" s="427" t="s">
        <v>95</v>
      </c>
      <c r="AC80" s="435">
        <v>45306</v>
      </c>
      <c r="AD80" s="409" t="s">
        <v>40</v>
      </c>
      <c r="AE80" s="409" t="str">
        <f t="shared" si="15"/>
        <v>FY24 inter</v>
      </c>
      <c r="AF80" s="409" t="str">
        <f t="shared" si="16"/>
        <v>FY24 intra</v>
      </c>
      <c r="AG80" s="409" t="s">
        <v>273</v>
      </c>
      <c r="AH80" s="409">
        <v>44461</v>
      </c>
      <c r="AI80" s="409" t="s">
        <v>127</v>
      </c>
      <c r="AJ80" s="409">
        <v>44461</v>
      </c>
      <c r="AK80" s="409" t="s">
        <v>276</v>
      </c>
      <c r="AL80" s="409"/>
    </row>
    <row r="81" spans="1:41" ht="33.950000000000003">
      <c r="A81" s="72">
        <v>1.3</v>
      </c>
      <c r="B81" s="48" t="s">
        <v>123</v>
      </c>
      <c r="C81" s="1" t="s">
        <v>268</v>
      </c>
      <c r="D81" s="1" t="s">
        <v>277</v>
      </c>
      <c r="E81" s="38">
        <v>60</v>
      </c>
      <c r="F81" s="38">
        <v>41</v>
      </c>
      <c r="G81" s="38">
        <v>69</v>
      </c>
      <c r="H81" s="38">
        <v>4</v>
      </c>
      <c r="I81" s="4">
        <f t="shared" si="19"/>
        <v>392.91666666666669</v>
      </c>
      <c r="J81" s="4">
        <v>1102</v>
      </c>
      <c r="K81" s="4">
        <f t="shared" si="18"/>
        <v>4408</v>
      </c>
      <c r="L81" s="445" t="s">
        <v>35</v>
      </c>
      <c r="M81" s="6" t="s">
        <v>176</v>
      </c>
      <c r="N81" s="10" t="s">
        <v>270</v>
      </c>
      <c r="O81" s="434">
        <f t="shared" si="7"/>
        <v>426</v>
      </c>
      <c r="P81" s="435">
        <v>44713</v>
      </c>
      <c r="Q81" s="428" t="s">
        <v>271</v>
      </c>
      <c r="R81" s="429">
        <v>45139</v>
      </c>
      <c r="S81" s="428" t="s">
        <v>272</v>
      </c>
      <c r="T81" s="431" t="s">
        <v>271</v>
      </c>
      <c r="U81" s="431" t="s">
        <v>38</v>
      </c>
      <c r="V81" s="431" t="s">
        <v>119</v>
      </c>
      <c r="W81" s="433" t="s">
        <v>230</v>
      </c>
      <c r="X81" s="433" t="s">
        <v>38</v>
      </c>
      <c r="Y81" s="433" t="s">
        <v>121</v>
      </c>
      <c r="Z81" s="435">
        <v>45231</v>
      </c>
      <c r="AA81" s="434" t="s">
        <v>38</v>
      </c>
      <c r="AB81" s="427" t="s">
        <v>95</v>
      </c>
      <c r="AC81" s="435">
        <v>45306</v>
      </c>
      <c r="AD81" s="409" t="s">
        <v>40</v>
      </c>
      <c r="AE81" s="409" t="str">
        <f t="shared" si="15"/>
        <v>FY24 inter</v>
      </c>
      <c r="AF81" s="409" t="str">
        <f t="shared" si="16"/>
        <v>FY24 intra</v>
      </c>
      <c r="AG81" s="409" t="s">
        <v>273</v>
      </c>
      <c r="AH81" s="409">
        <v>44461</v>
      </c>
      <c r="AI81" s="409" t="s">
        <v>127</v>
      </c>
      <c r="AJ81" s="409">
        <v>44461</v>
      </c>
      <c r="AK81" s="409" t="s">
        <v>274</v>
      </c>
      <c r="AL81" s="409"/>
    </row>
    <row r="82" spans="1:41" ht="51">
      <c r="A82" s="72">
        <v>1.3</v>
      </c>
      <c r="B82" s="48" t="s">
        <v>123</v>
      </c>
      <c r="C82" s="1" t="s">
        <v>268</v>
      </c>
      <c r="D82" s="1" t="s">
        <v>278</v>
      </c>
      <c r="E82" s="38">
        <v>60</v>
      </c>
      <c r="F82" s="38">
        <v>41</v>
      </c>
      <c r="G82" s="38">
        <v>69</v>
      </c>
      <c r="H82" s="38">
        <v>1</v>
      </c>
      <c r="I82" s="4">
        <f t="shared" si="19"/>
        <v>98.229166666666671</v>
      </c>
      <c r="J82" s="4">
        <v>1102</v>
      </c>
      <c r="K82" s="4">
        <f t="shared" si="18"/>
        <v>1102</v>
      </c>
      <c r="L82" s="445" t="s">
        <v>35</v>
      </c>
      <c r="M82" s="6" t="s">
        <v>176</v>
      </c>
      <c r="N82" s="10" t="s">
        <v>270</v>
      </c>
      <c r="O82" s="434">
        <f t="shared" si="7"/>
        <v>426</v>
      </c>
      <c r="P82" s="435">
        <v>44713</v>
      </c>
      <c r="Q82" s="428" t="s">
        <v>271</v>
      </c>
      <c r="R82" s="429">
        <v>45139</v>
      </c>
      <c r="S82" s="428" t="s">
        <v>272</v>
      </c>
      <c r="T82" s="431" t="s">
        <v>271</v>
      </c>
      <c r="U82" s="431" t="s">
        <v>38</v>
      </c>
      <c r="V82" s="431" t="s">
        <v>119</v>
      </c>
      <c r="W82" s="433" t="s">
        <v>230</v>
      </c>
      <c r="X82" s="433" t="s">
        <v>38</v>
      </c>
      <c r="Y82" s="433" t="s">
        <v>121</v>
      </c>
      <c r="Z82" s="435">
        <v>45231</v>
      </c>
      <c r="AA82" s="434" t="s">
        <v>38</v>
      </c>
      <c r="AB82" s="427" t="s">
        <v>95</v>
      </c>
      <c r="AC82" s="435">
        <v>45306</v>
      </c>
      <c r="AD82" s="409" t="s">
        <v>40</v>
      </c>
      <c r="AE82" s="409" t="str">
        <f t="shared" si="15"/>
        <v>FY24 inter</v>
      </c>
      <c r="AF82" s="409" t="str">
        <f t="shared" si="16"/>
        <v>FY24 intra</v>
      </c>
      <c r="AG82" s="409" t="s">
        <v>273</v>
      </c>
      <c r="AH82" s="409">
        <v>44461</v>
      </c>
      <c r="AI82" s="409" t="s">
        <v>127</v>
      </c>
      <c r="AJ82" s="409">
        <v>44461</v>
      </c>
      <c r="AK82" s="409" t="s">
        <v>279</v>
      </c>
      <c r="AL82" s="409"/>
    </row>
    <row r="83" spans="1:41" ht="33.950000000000003">
      <c r="A83" s="72">
        <v>1.3</v>
      </c>
      <c r="B83" s="48" t="s">
        <v>123</v>
      </c>
      <c r="C83" s="1" t="s">
        <v>227</v>
      </c>
      <c r="D83" s="1" t="s">
        <v>280</v>
      </c>
      <c r="E83" s="38">
        <v>41</v>
      </c>
      <c r="F83" s="38">
        <v>41</v>
      </c>
      <c r="G83" s="38">
        <v>69</v>
      </c>
      <c r="H83" s="38">
        <v>10</v>
      </c>
      <c r="I83" s="4">
        <f t="shared" si="19"/>
        <v>671.23263888888891</v>
      </c>
      <c r="J83" s="4">
        <v>750</v>
      </c>
      <c r="K83" s="4">
        <f t="shared" si="18"/>
        <v>7500</v>
      </c>
      <c r="L83" s="445" t="s">
        <v>35</v>
      </c>
      <c r="M83" s="6" t="s">
        <v>176</v>
      </c>
      <c r="N83" s="10" t="s">
        <v>270</v>
      </c>
      <c r="O83" s="434">
        <f t="shared" si="7"/>
        <v>61</v>
      </c>
      <c r="P83" s="435">
        <v>45078</v>
      </c>
      <c r="Q83" s="428" t="s">
        <v>271</v>
      </c>
      <c r="R83" s="429">
        <v>45139</v>
      </c>
      <c r="S83" s="428" t="s">
        <v>272</v>
      </c>
      <c r="T83" s="431" t="s">
        <v>271</v>
      </c>
      <c r="U83" s="431" t="s">
        <v>38</v>
      </c>
      <c r="V83" s="431" t="s">
        <v>119</v>
      </c>
      <c r="W83" s="433" t="s">
        <v>230</v>
      </c>
      <c r="X83" s="433" t="s">
        <v>38</v>
      </c>
      <c r="Y83" s="433" t="s">
        <v>121</v>
      </c>
      <c r="Z83" s="435">
        <v>45597</v>
      </c>
      <c r="AA83" s="434" t="s">
        <v>38</v>
      </c>
      <c r="AB83" s="427" t="s">
        <v>95</v>
      </c>
      <c r="AC83" s="435">
        <v>45621</v>
      </c>
      <c r="AD83" s="409" t="s">
        <v>40</v>
      </c>
      <c r="AE83" s="409" t="str">
        <f t="shared" si="15"/>
        <v>FY25 inter</v>
      </c>
      <c r="AF83" s="409" t="str">
        <f t="shared" si="16"/>
        <v>FY25 intra</v>
      </c>
      <c r="AG83" s="409" t="s">
        <v>273</v>
      </c>
      <c r="AH83" s="409">
        <v>44461</v>
      </c>
      <c r="AI83" s="409" t="s">
        <v>127</v>
      </c>
      <c r="AJ83" s="409">
        <v>44461</v>
      </c>
      <c r="AK83" s="409" t="s">
        <v>274</v>
      </c>
      <c r="AL83" s="409"/>
    </row>
    <row r="84" spans="1:41" ht="33.950000000000003">
      <c r="A84" s="72">
        <v>1.3</v>
      </c>
      <c r="B84" s="48" t="s">
        <v>123</v>
      </c>
      <c r="C84" s="1" t="s">
        <v>227</v>
      </c>
      <c r="D84" s="1" t="s">
        <v>281</v>
      </c>
      <c r="E84" s="38">
        <v>60</v>
      </c>
      <c r="F84" s="38">
        <v>41</v>
      </c>
      <c r="G84" s="38">
        <v>69</v>
      </c>
      <c r="H84" s="38">
        <v>10</v>
      </c>
      <c r="I84" s="4">
        <f t="shared" si="19"/>
        <v>982.29166666666674</v>
      </c>
      <c r="J84" s="4">
        <v>1102</v>
      </c>
      <c r="K84" s="4">
        <f t="shared" si="18"/>
        <v>11020</v>
      </c>
      <c r="L84" s="445" t="s">
        <v>35</v>
      </c>
      <c r="M84" s="6" t="s">
        <v>176</v>
      </c>
      <c r="N84" s="10" t="s">
        <v>270</v>
      </c>
      <c r="O84" s="434">
        <f t="shared" si="7"/>
        <v>61</v>
      </c>
      <c r="P84" s="435">
        <v>45078</v>
      </c>
      <c r="Q84" s="428" t="s">
        <v>271</v>
      </c>
      <c r="R84" s="429">
        <v>45139</v>
      </c>
      <c r="S84" s="428" t="s">
        <v>272</v>
      </c>
      <c r="T84" s="431" t="s">
        <v>271</v>
      </c>
      <c r="U84" s="431" t="s">
        <v>38</v>
      </c>
      <c r="V84" s="431" t="s">
        <v>119</v>
      </c>
      <c r="W84" s="433" t="s">
        <v>230</v>
      </c>
      <c r="X84" s="433" t="s">
        <v>38</v>
      </c>
      <c r="Y84" s="433" t="s">
        <v>121</v>
      </c>
      <c r="Z84" s="435">
        <v>45597</v>
      </c>
      <c r="AA84" s="434" t="s">
        <v>38</v>
      </c>
      <c r="AB84" s="427" t="s">
        <v>95</v>
      </c>
      <c r="AC84" s="435">
        <v>45621</v>
      </c>
      <c r="AD84" s="409" t="s">
        <v>40</v>
      </c>
      <c r="AE84" s="409" t="str">
        <f t="shared" si="15"/>
        <v>FY25 inter</v>
      </c>
      <c r="AF84" s="409" t="str">
        <f t="shared" si="16"/>
        <v>FY25 intra</v>
      </c>
      <c r="AG84" s="409" t="s">
        <v>273</v>
      </c>
      <c r="AH84" s="409">
        <v>44461</v>
      </c>
      <c r="AI84" s="409" t="s">
        <v>127</v>
      </c>
      <c r="AJ84" s="409">
        <v>44461</v>
      </c>
      <c r="AK84" s="409" t="s">
        <v>274</v>
      </c>
      <c r="AL84" s="409"/>
    </row>
    <row r="85" spans="1:41" s="91" customFormat="1" ht="21" customHeight="1" thickBot="1">
      <c r="A85" s="53"/>
      <c r="B85" s="53"/>
      <c r="C85" s="54" t="s">
        <v>282</v>
      </c>
      <c r="D85" s="55"/>
      <c r="E85" s="44"/>
      <c r="F85" s="44"/>
      <c r="G85" s="44" t="s">
        <v>75</v>
      </c>
      <c r="H85" s="56">
        <f>I85/(1360*0.7)</f>
        <v>2.6053429184173669</v>
      </c>
      <c r="I85" s="57">
        <f>SUM(I79:I84)</f>
        <v>2480.286458333333</v>
      </c>
      <c r="J85" s="57"/>
      <c r="K85" s="58">
        <f>SUM(K79:K84)</f>
        <v>27780</v>
      </c>
      <c r="L85" s="58"/>
      <c r="M85" s="58"/>
      <c r="N85" s="58"/>
      <c r="O85" s="58"/>
      <c r="P85" s="77"/>
      <c r="Q85" s="59"/>
      <c r="R85" s="77"/>
      <c r="S85" s="60"/>
      <c r="T85" s="59"/>
      <c r="U85" s="60"/>
      <c r="V85" s="60"/>
      <c r="W85" s="59"/>
      <c r="X85" s="60"/>
      <c r="Y85" s="60"/>
      <c r="Z85" s="77"/>
      <c r="AA85" s="60"/>
      <c r="AB85" s="60"/>
      <c r="AC85" s="77"/>
      <c r="AD85" s="59"/>
      <c r="AE85" s="77" t="str">
        <f t="shared" si="15"/>
        <v/>
      </c>
      <c r="AF85" s="59" t="str">
        <f t="shared" si="16"/>
        <v/>
      </c>
      <c r="AG85" s="59"/>
      <c r="AH85" s="59"/>
      <c r="AI85" s="59"/>
      <c r="AJ85" s="59"/>
      <c r="AK85" s="59"/>
      <c r="AL85" s="59"/>
      <c r="AM85" s="11"/>
      <c r="AN85" s="11"/>
      <c r="AO85" s="11"/>
    </row>
    <row r="86" spans="1:41" ht="18" thickTop="1">
      <c r="A86" s="72">
        <v>1.2</v>
      </c>
      <c r="B86" s="48" t="s">
        <v>283</v>
      </c>
      <c r="C86" s="1" t="s">
        <v>284</v>
      </c>
      <c r="D86" s="1" t="s">
        <v>285</v>
      </c>
      <c r="E86" s="38"/>
      <c r="F86" s="38"/>
      <c r="G86" s="38"/>
      <c r="H86" s="38">
        <v>3191</v>
      </c>
      <c r="I86" s="450">
        <f t="shared" ref="I86:I91" si="20">SUM(H86/7.48052)</f>
        <v>426.57462315454006</v>
      </c>
      <c r="J86" s="450">
        <v>6.8</v>
      </c>
      <c r="K86" s="4">
        <f>IF(ISERROR(SEARCH("totals", C86)),H86*J86, "")</f>
        <v>21698.799999999999</v>
      </c>
      <c r="L86" s="103" t="s">
        <v>180</v>
      </c>
      <c r="M86" s="40"/>
      <c r="N86" s="10"/>
      <c r="O86" s="10"/>
      <c r="P86" s="435" t="s">
        <v>38</v>
      </c>
      <c r="Q86" s="428" t="s">
        <v>38</v>
      </c>
      <c r="R86" s="428" t="s">
        <v>38</v>
      </c>
      <c r="S86" s="428" t="s">
        <v>38</v>
      </c>
      <c r="T86" s="431" t="s">
        <v>38</v>
      </c>
      <c r="U86" s="431" t="s">
        <v>38</v>
      </c>
      <c r="V86" s="431" t="s">
        <v>38</v>
      </c>
      <c r="W86" s="433" t="s">
        <v>38</v>
      </c>
      <c r="X86" s="433" t="s">
        <v>38</v>
      </c>
      <c r="Y86" s="433" t="s">
        <v>38</v>
      </c>
      <c r="Z86" s="435">
        <v>44866</v>
      </c>
      <c r="AA86" s="434" t="s">
        <v>38</v>
      </c>
      <c r="AB86" s="427" t="s">
        <v>52</v>
      </c>
      <c r="AC86" s="435">
        <v>44896</v>
      </c>
      <c r="AD86" s="409" t="s">
        <v>40</v>
      </c>
      <c r="AE86" s="409" t="str">
        <f t="shared" si="15"/>
        <v>FY23 inter</v>
      </c>
      <c r="AF86" s="409" t="str">
        <f t="shared" si="16"/>
        <v>FY23 intra</v>
      </c>
      <c r="AG86" s="409" t="s">
        <v>286</v>
      </c>
      <c r="AH86" s="409">
        <v>44483</v>
      </c>
      <c r="AI86" s="409" t="s">
        <v>42</v>
      </c>
      <c r="AJ86" s="409">
        <v>44483</v>
      </c>
      <c r="AK86" s="409"/>
      <c r="AL86" s="409"/>
    </row>
    <row r="87" spans="1:41" ht="17.100000000000001">
      <c r="A87" s="72">
        <v>1.2</v>
      </c>
      <c r="B87" s="48"/>
      <c r="C87" s="1" t="s">
        <v>287</v>
      </c>
      <c r="D87" s="1" t="s">
        <v>288</v>
      </c>
      <c r="E87" s="38"/>
      <c r="F87" s="38"/>
      <c r="G87" s="38"/>
      <c r="H87" s="38">
        <v>452</v>
      </c>
      <c r="I87" s="450">
        <f t="shared" si="20"/>
        <v>60.423606915027293</v>
      </c>
      <c r="J87" s="450">
        <v>6.8</v>
      </c>
      <c r="K87" s="4">
        <f t="shared" ref="K87" si="21">IF(ISERROR(SEARCH("totals", C87)),H87*J87, "")</f>
        <v>3073.6</v>
      </c>
      <c r="L87" s="103" t="s">
        <v>180</v>
      </c>
      <c r="M87" s="40"/>
      <c r="N87" s="10"/>
      <c r="O87" s="10"/>
      <c r="P87" s="435" t="s">
        <v>38</v>
      </c>
      <c r="Q87" s="428" t="s">
        <v>38</v>
      </c>
      <c r="R87" s="428" t="s">
        <v>38</v>
      </c>
      <c r="S87" s="428" t="s">
        <v>38</v>
      </c>
      <c r="T87" s="431" t="s">
        <v>38</v>
      </c>
      <c r="U87" s="431" t="s">
        <v>38</v>
      </c>
      <c r="V87" s="431" t="s">
        <v>38</v>
      </c>
      <c r="W87" s="433" t="s">
        <v>38</v>
      </c>
      <c r="X87" s="433" t="s">
        <v>38</v>
      </c>
      <c r="Y87" s="433" t="s">
        <v>38</v>
      </c>
      <c r="Z87" s="435">
        <v>44866</v>
      </c>
      <c r="AA87" s="434" t="s">
        <v>38</v>
      </c>
      <c r="AB87" s="427" t="s">
        <v>52</v>
      </c>
      <c r="AC87" s="435">
        <v>44896</v>
      </c>
      <c r="AD87" s="409" t="s">
        <v>40</v>
      </c>
      <c r="AE87" s="409" t="str">
        <f t="shared" ref="AE87" si="22">IF(ISBLANK(Z87),"",IFERROR(LOOKUP(Z87,FY_dates, inter_label),Z87))</f>
        <v>FY23 inter</v>
      </c>
      <c r="AF87" s="409" t="str">
        <f t="shared" ref="AF87" si="23">IF(ISBLANK(AC87),"",IFERROR(LOOKUP(AC87,FY_dates, intra_label),AC87))</f>
        <v>FY23 intra</v>
      </c>
      <c r="AG87" s="409" t="s">
        <v>286</v>
      </c>
      <c r="AH87" s="409">
        <v>44483</v>
      </c>
      <c r="AI87" s="409" t="s">
        <v>42</v>
      </c>
      <c r="AJ87" s="409">
        <v>44483</v>
      </c>
      <c r="AK87" s="409"/>
      <c r="AL87" s="409"/>
    </row>
    <row r="88" spans="1:41" ht="17.100000000000001">
      <c r="A88" s="72">
        <v>1.2</v>
      </c>
      <c r="B88" s="48"/>
      <c r="C88" s="1" t="s">
        <v>289</v>
      </c>
      <c r="D88" s="1" t="s">
        <v>290</v>
      </c>
      <c r="E88" s="38"/>
      <c r="F88" s="38"/>
      <c r="G88" s="38"/>
      <c r="H88" s="4">
        <v>18178</v>
      </c>
      <c r="I88" s="450">
        <f t="shared" si="20"/>
        <v>2430.0449701357657</v>
      </c>
      <c r="J88" s="450">
        <v>6.8</v>
      </c>
      <c r="K88" s="4">
        <f t="shared" ref="K88:K90" si="24">IF(ISERROR(SEARCH("totals", C88)),H88*J88, "")</f>
        <v>123610.4</v>
      </c>
      <c r="L88" s="103" t="s">
        <v>180</v>
      </c>
      <c r="M88" s="40"/>
      <c r="N88" s="10"/>
      <c r="O88" s="10"/>
      <c r="P88" s="435" t="s">
        <v>38</v>
      </c>
      <c r="Q88" s="428" t="s">
        <v>38</v>
      </c>
      <c r="R88" s="428" t="s">
        <v>38</v>
      </c>
      <c r="S88" s="428" t="s">
        <v>38</v>
      </c>
      <c r="T88" s="431" t="s">
        <v>38</v>
      </c>
      <c r="U88" s="431" t="s">
        <v>38</v>
      </c>
      <c r="V88" s="431" t="s">
        <v>38</v>
      </c>
      <c r="W88" s="433" t="s">
        <v>38</v>
      </c>
      <c r="X88" s="433" t="s">
        <v>38</v>
      </c>
      <c r="Y88" s="433" t="s">
        <v>38</v>
      </c>
      <c r="Z88" s="435">
        <v>45231</v>
      </c>
      <c r="AA88" s="434" t="s">
        <v>38</v>
      </c>
      <c r="AB88" s="427" t="s">
        <v>52</v>
      </c>
      <c r="AC88" s="435">
        <v>45261</v>
      </c>
      <c r="AD88" s="409" t="s">
        <v>40</v>
      </c>
      <c r="AE88" s="409" t="str">
        <f t="shared" ref="AE88:AE90" si="25">IF(ISBLANK(Z88),"",IFERROR(LOOKUP(Z88,FY_dates, inter_label),Z88))</f>
        <v>FY24 inter</v>
      </c>
      <c r="AF88" s="409" t="str">
        <f t="shared" ref="AF88:AF90" si="26">IF(ISBLANK(AC88),"",IFERROR(LOOKUP(AC88,FY_dates, intra_label),AC88))</f>
        <v>FY24 intra</v>
      </c>
      <c r="AG88" s="409" t="s">
        <v>286</v>
      </c>
      <c r="AH88" s="409">
        <v>44483</v>
      </c>
      <c r="AI88" s="409" t="s">
        <v>42</v>
      </c>
      <c r="AJ88" s="409">
        <v>44483</v>
      </c>
      <c r="AK88" s="409"/>
      <c r="AL88" s="409"/>
    </row>
    <row r="89" spans="1:41" ht="17.100000000000001">
      <c r="A89" s="72">
        <v>1.2</v>
      </c>
      <c r="B89" s="48"/>
      <c r="C89" s="1" t="s">
        <v>291</v>
      </c>
      <c r="D89" s="1" t="s">
        <v>292</v>
      </c>
      <c r="E89" s="38"/>
      <c r="F89" s="38"/>
      <c r="G89" s="38"/>
      <c r="H89" s="40">
        <v>2373</v>
      </c>
      <c r="I89" s="450">
        <f t="shared" si="20"/>
        <v>317.22393630389331</v>
      </c>
      <c r="J89" s="450">
        <v>6.8</v>
      </c>
      <c r="K89" s="4">
        <f t="shared" si="24"/>
        <v>16136.4</v>
      </c>
      <c r="L89" s="103" t="s">
        <v>180</v>
      </c>
      <c r="M89" s="40"/>
      <c r="N89" s="10"/>
      <c r="O89" s="10"/>
      <c r="P89" s="435" t="s">
        <v>38</v>
      </c>
      <c r="Q89" s="428" t="s">
        <v>38</v>
      </c>
      <c r="R89" s="428" t="s">
        <v>38</v>
      </c>
      <c r="S89" s="428" t="s">
        <v>38</v>
      </c>
      <c r="T89" s="431" t="s">
        <v>38</v>
      </c>
      <c r="U89" s="431" t="s">
        <v>38</v>
      </c>
      <c r="V89" s="431" t="s">
        <v>38</v>
      </c>
      <c r="W89" s="433" t="s">
        <v>38</v>
      </c>
      <c r="X89" s="433" t="s">
        <v>38</v>
      </c>
      <c r="Y89" s="433" t="s">
        <v>38</v>
      </c>
      <c r="Z89" s="435">
        <v>45231</v>
      </c>
      <c r="AA89" s="434" t="s">
        <v>38</v>
      </c>
      <c r="AB89" s="427" t="s">
        <v>52</v>
      </c>
      <c r="AC89" s="435">
        <v>45261</v>
      </c>
      <c r="AD89" s="409" t="s">
        <v>40</v>
      </c>
      <c r="AE89" s="409" t="str">
        <f t="shared" si="25"/>
        <v>FY24 inter</v>
      </c>
      <c r="AF89" s="409" t="str">
        <f t="shared" si="26"/>
        <v>FY24 intra</v>
      </c>
      <c r="AG89" s="409" t="s">
        <v>286</v>
      </c>
      <c r="AH89" s="409">
        <v>44483</v>
      </c>
      <c r="AI89" s="409" t="s">
        <v>42</v>
      </c>
      <c r="AJ89" s="409">
        <v>44483</v>
      </c>
      <c r="AK89" s="409"/>
      <c r="AL89" s="409"/>
    </row>
    <row r="90" spans="1:41" ht="17.100000000000001">
      <c r="A90" s="72">
        <v>1.2</v>
      </c>
      <c r="B90" s="48"/>
      <c r="C90" s="1" t="s">
        <v>293</v>
      </c>
      <c r="D90" s="1" t="s">
        <v>294</v>
      </c>
      <c r="E90" s="38"/>
      <c r="F90" s="38"/>
      <c r="G90" s="38"/>
      <c r="H90" s="40">
        <v>62694</v>
      </c>
      <c r="I90" s="450">
        <f t="shared" si="20"/>
        <v>8380.9681679883215</v>
      </c>
      <c r="J90" s="450">
        <v>6.8</v>
      </c>
      <c r="K90" s="4">
        <f t="shared" si="24"/>
        <v>426319.2</v>
      </c>
      <c r="L90" s="103" t="s">
        <v>180</v>
      </c>
      <c r="M90" s="40"/>
      <c r="N90" s="10"/>
      <c r="O90" s="10"/>
      <c r="P90" s="435" t="s">
        <v>38</v>
      </c>
      <c r="Q90" s="428" t="s">
        <v>38</v>
      </c>
      <c r="R90" s="428" t="s">
        <v>38</v>
      </c>
      <c r="S90" s="428" t="s">
        <v>38</v>
      </c>
      <c r="T90" s="431" t="s">
        <v>38</v>
      </c>
      <c r="U90" s="431" t="s">
        <v>38</v>
      </c>
      <c r="V90" s="431" t="s">
        <v>38</v>
      </c>
      <c r="W90" s="433" t="s">
        <v>38</v>
      </c>
      <c r="X90" s="433" t="s">
        <v>38</v>
      </c>
      <c r="Y90" s="433" t="s">
        <v>38</v>
      </c>
      <c r="Z90" s="435">
        <v>45597</v>
      </c>
      <c r="AA90" s="434" t="s">
        <v>38</v>
      </c>
      <c r="AB90" s="427" t="s">
        <v>52</v>
      </c>
      <c r="AC90" s="435">
        <v>45627</v>
      </c>
      <c r="AD90" s="409" t="s">
        <v>40</v>
      </c>
      <c r="AE90" s="409" t="str">
        <f t="shared" si="25"/>
        <v>FY25 inter</v>
      </c>
      <c r="AF90" s="409" t="str">
        <f t="shared" si="26"/>
        <v>FY25 intra</v>
      </c>
      <c r="AG90" s="409" t="s">
        <v>286</v>
      </c>
      <c r="AH90" s="409">
        <v>44483</v>
      </c>
      <c r="AI90" s="409" t="s">
        <v>42</v>
      </c>
      <c r="AJ90" s="409">
        <v>44483</v>
      </c>
      <c r="AK90" s="409"/>
      <c r="AL90" s="409"/>
    </row>
    <row r="91" spans="1:41" ht="17.100000000000001">
      <c r="A91" s="72">
        <v>1.2</v>
      </c>
      <c r="B91" s="48"/>
      <c r="C91" s="1" t="s">
        <v>295</v>
      </c>
      <c r="D91" s="1" t="s">
        <v>296</v>
      </c>
      <c r="E91" s="38"/>
      <c r="F91" s="38"/>
      <c r="G91" s="38"/>
      <c r="H91" s="40">
        <v>8473</v>
      </c>
      <c r="I91" s="450">
        <f t="shared" si="20"/>
        <v>1132.6752685642175</v>
      </c>
      <c r="J91" s="450">
        <v>6.8</v>
      </c>
      <c r="K91" s="4">
        <f>IF(ISERROR(SEARCH("totals", C91)),H91*J91, "")</f>
        <v>57616.4</v>
      </c>
      <c r="L91" s="103" t="s">
        <v>180</v>
      </c>
      <c r="M91" s="40"/>
      <c r="N91" s="10"/>
      <c r="O91" s="10"/>
      <c r="P91" s="435" t="s">
        <v>38</v>
      </c>
      <c r="Q91" s="428" t="s">
        <v>38</v>
      </c>
      <c r="R91" s="428" t="s">
        <v>38</v>
      </c>
      <c r="S91" s="428" t="s">
        <v>38</v>
      </c>
      <c r="T91" s="431" t="s">
        <v>38</v>
      </c>
      <c r="U91" s="431" t="s">
        <v>38</v>
      </c>
      <c r="V91" s="431" t="s">
        <v>38</v>
      </c>
      <c r="W91" s="433" t="s">
        <v>38</v>
      </c>
      <c r="X91" s="433" t="s">
        <v>38</v>
      </c>
      <c r="Y91" s="433" t="s">
        <v>38</v>
      </c>
      <c r="Z91" s="435">
        <v>45597</v>
      </c>
      <c r="AA91" s="434" t="s">
        <v>38</v>
      </c>
      <c r="AB91" s="427" t="s">
        <v>52</v>
      </c>
      <c r="AC91" s="435">
        <v>45627</v>
      </c>
      <c r="AD91" s="409" t="s">
        <v>40</v>
      </c>
      <c r="AE91" s="409" t="str">
        <f t="shared" ref="AE91" si="27">IF(ISBLANK(Z91),"",IFERROR(LOOKUP(Z91,FY_dates, inter_label),Z91))</f>
        <v>FY25 inter</v>
      </c>
      <c r="AF91" s="409" t="str">
        <f t="shared" ref="AF91" si="28">IF(ISBLANK(AC91),"",IFERROR(LOOKUP(AC91,FY_dates, intra_label),AC91))</f>
        <v>FY25 intra</v>
      </c>
      <c r="AG91" s="409" t="s">
        <v>286</v>
      </c>
      <c r="AH91" s="409">
        <v>44483</v>
      </c>
      <c r="AI91" s="409" t="s">
        <v>42</v>
      </c>
      <c r="AJ91" s="409">
        <v>44483</v>
      </c>
      <c r="AK91" s="409"/>
      <c r="AL91" s="409"/>
    </row>
    <row r="92" spans="1:41" s="91" customFormat="1" ht="21" customHeight="1" thickBot="1">
      <c r="A92" s="53"/>
      <c r="B92" s="53"/>
      <c r="C92" s="54" t="s">
        <v>297</v>
      </c>
      <c r="D92" s="55"/>
      <c r="E92" s="44"/>
      <c r="F92" s="44"/>
      <c r="G92" s="44" t="s">
        <v>75</v>
      </c>
      <c r="H92" s="56">
        <f>I92/(1360*0.7)</f>
        <v>13.39066236666152</v>
      </c>
      <c r="I92" s="57">
        <f>SUM(I86:I91)</f>
        <v>12747.910573061765</v>
      </c>
      <c r="J92" s="57"/>
      <c r="K92" s="58">
        <f>SUM(K86:K91)</f>
        <v>648454.80000000005</v>
      </c>
      <c r="L92" s="58"/>
      <c r="M92" s="58"/>
      <c r="N92" s="58"/>
      <c r="O92" s="58"/>
      <c r="P92" s="77"/>
      <c r="Q92" s="59"/>
      <c r="R92" s="77"/>
      <c r="S92" s="60"/>
      <c r="T92" s="59"/>
      <c r="U92" s="60"/>
      <c r="V92" s="60"/>
      <c r="W92" s="59"/>
      <c r="X92" s="60"/>
      <c r="Y92" s="60"/>
      <c r="Z92" s="77"/>
      <c r="AA92" s="60"/>
      <c r="AB92" s="60"/>
      <c r="AC92" s="77"/>
      <c r="AD92" s="59"/>
      <c r="AE92" s="59"/>
      <c r="AF92" s="59"/>
      <c r="AG92" s="59"/>
      <c r="AH92" s="59"/>
      <c r="AI92" s="59"/>
      <c r="AJ92" s="59"/>
      <c r="AK92" s="59"/>
      <c r="AL92" s="59"/>
      <c r="AM92" s="11"/>
      <c r="AN92" s="11"/>
      <c r="AO92" s="11"/>
    </row>
    <row r="93" spans="1:41" ht="23.1" customHeight="1" thickTop="1">
      <c r="A93" s="25"/>
      <c r="B93" s="25"/>
      <c r="C93" s="3"/>
      <c r="D93" s="42" t="s">
        <v>298</v>
      </c>
      <c r="E93" s="43"/>
      <c r="F93" s="43"/>
      <c r="G93" s="44" t="s">
        <v>75</v>
      </c>
      <c r="H93" s="45">
        <f>I93/(1360*0.7)</f>
        <v>55.403011794279799</v>
      </c>
      <c r="I93" s="46">
        <f>I13+I19+I58+I67+I69+I78+I85+I92</f>
        <v>52743.667228154365</v>
      </c>
      <c r="J93" s="46"/>
      <c r="K93" s="46">
        <f>K13+K19+K58+K67+K69+K78+K85+K92</f>
        <v>1165246.8</v>
      </c>
      <c r="L93" s="104"/>
      <c r="M93" s="46"/>
      <c r="N93" s="427"/>
      <c r="O93" s="427"/>
      <c r="P93" s="435"/>
      <c r="Q93" s="427"/>
      <c r="R93" s="435"/>
      <c r="S93" s="427"/>
      <c r="T93" s="427"/>
      <c r="U93" s="427"/>
      <c r="V93" s="427"/>
      <c r="W93" s="427"/>
      <c r="X93" s="427"/>
      <c r="Y93" s="427"/>
      <c r="Z93" s="435"/>
      <c r="AA93" s="434"/>
      <c r="AB93" s="427"/>
      <c r="AC93" s="435"/>
      <c r="AD93" s="427"/>
      <c r="AE93" s="427"/>
      <c r="AF93" s="427"/>
      <c r="AG93" s="427"/>
      <c r="AH93" s="427"/>
      <c r="AI93" s="427"/>
      <c r="AJ93" s="427"/>
      <c r="AK93" s="427"/>
      <c r="AL93" s="427"/>
    </row>
    <row r="94" spans="1:41">
      <c r="A94" s="2" t="s">
        <v>299</v>
      </c>
      <c r="B94" s="2"/>
      <c r="AA94" s="9"/>
    </row>
    <row r="95" spans="1:41">
      <c r="C95" s="16" t="s">
        <v>300</v>
      </c>
      <c r="D95" s="16" t="s">
        <v>301</v>
      </c>
      <c r="K95" s="75"/>
      <c r="AA95" s="9"/>
    </row>
    <row r="96" spans="1:41">
      <c r="C96" s="16" t="s">
        <v>302</v>
      </c>
      <c r="D96" s="16" t="s">
        <v>303</v>
      </c>
      <c r="AA96" s="9"/>
    </row>
    <row r="97" spans="1:27">
      <c r="C97" s="16" t="s">
        <v>304</v>
      </c>
      <c r="D97" s="16" t="s">
        <v>305</v>
      </c>
      <c r="AA97" s="9"/>
    </row>
    <row r="98" spans="1:27">
      <c r="C98" s="16" t="s">
        <v>306</v>
      </c>
      <c r="D98" s="16" t="s">
        <v>307</v>
      </c>
      <c r="AA98" s="9"/>
    </row>
    <row r="99" spans="1:27">
      <c r="C99" s="16" t="s">
        <v>308</v>
      </c>
      <c r="D99" s="16" t="s">
        <v>309</v>
      </c>
      <c r="AA99" s="9"/>
    </row>
    <row r="100" spans="1:27">
      <c r="C100" s="16" t="s">
        <v>310</v>
      </c>
      <c r="D100" s="16" t="s">
        <v>311</v>
      </c>
      <c r="AA100" s="9"/>
    </row>
    <row r="101" spans="1:27">
      <c r="C101" s="16" t="s">
        <v>312</v>
      </c>
      <c r="D101" s="16" t="s">
        <v>313</v>
      </c>
      <c r="AA101" s="9"/>
    </row>
    <row r="102" spans="1:27">
      <c r="C102" s="16" t="s">
        <v>314</v>
      </c>
      <c r="D102" s="16" t="s">
        <v>315</v>
      </c>
      <c r="AA102" s="9"/>
    </row>
    <row r="103" spans="1:27">
      <c r="C103" s="16" t="s">
        <v>316</v>
      </c>
      <c r="D103" s="16" t="s">
        <v>317</v>
      </c>
      <c r="AA103" s="9"/>
    </row>
    <row r="104" spans="1:27">
      <c r="C104" s="16" t="s">
        <v>318</v>
      </c>
      <c r="D104" s="16" t="s">
        <v>319</v>
      </c>
      <c r="AA104" s="9"/>
    </row>
    <row r="105" spans="1:27">
      <c r="A105" s="2"/>
      <c r="B105" s="2"/>
      <c r="C105" s="16" t="s">
        <v>320</v>
      </c>
      <c r="D105" s="16" t="s">
        <v>321</v>
      </c>
      <c r="I105" s="75"/>
      <c r="J105" s="75"/>
      <c r="K105" s="75"/>
      <c r="L105" s="105"/>
      <c r="AA105" s="9"/>
    </row>
    <row r="106" spans="1:27">
      <c r="A106" s="2"/>
      <c r="B106" s="2"/>
      <c r="C106" s="16" t="s">
        <v>1</v>
      </c>
      <c r="D106" s="16" t="s">
        <v>322</v>
      </c>
      <c r="AA106" s="9"/>
    </row>
    <row r="107" spans="1:27">
      <c r="C107" s="16" t="s">
        <v>323</v>
      </c>
      <c r="D107" s="16" t="s">
        <v>324</v>
      </c>
      <c r="AA107" s="9"/>
    </row>
    <row r="108" spans="1:27">
      <c r="AA108" s="9"/>
    </row>
    <row r="109" spans="1:27">
      <c r="C109" s="16" t="s">
        <v>325</v>
      </c>
      <c r="D109" s="16" t="s">
        <v>326</v>
      </c>
      <c r="AA109" s="9"/>
    </row>
    <row r="110" spans="1:27">
      <c r="C110" s="16" t="s">
        <v>327</v>
      </c>
      <c r="D110" s="16" t="s">
        <v>328</v>
      </c>
      <c r="AA110" s="9"/>
    </row>
    <row r="111" spans="1:27">
      <c r="C111" s="16" t="s">
        <v>329</v>
      </c>
      <c r="D111" s="16" t="s">
        <v>330</v>
      </c>
      <c r="AA111" s="9"/>
    </row>
    <row r="112" spans="1:27">
      <c r="AA112" s="9"/>
    </row>
    <row r="113" spans="1:27">
      <c r="C113" s="16" t="s">
        <v>117</v>
      </c>
      <c r="D113" s="16" t="s">
        <v>331</v>
      </c>
      <c r="AA113" s="9"/>
    </row>
    <row r="114" spans="1:27">
      <c r="C114" s="16" t="s">
        <v>332</v>
      </c>
      <c r="D114" s="16" t="s">
        <v>333</v>
      </c>
      <c r="F114" s="75"/>
      <c r="AA114" s="9"/>
    </row>
    <row r="115" spans="1:27">
      <c r="L115" s="106"/>
      <c r="AA115" s="9"/>
    </row>
    <row r="116" spans="1:27">
      <c r="D116" s="73"/>
      <c r="AA116" s="9"/>
    </row>
    <row r="117" spans="1:27" ht="15.95" thickBot="1">
      <c r="D117" s="73"/>
      <c r="F117" s="90"/>
      <c r="AA117" s="9"/>
    </row>
    <row r="118" spans="1:27" ht="15.95" customHeight="1">
      <c r="A118" s="416" t="s">
        <v>334</v>
      </c>
      <c r="B118" s="417"/>
      <c r="C118" s="81" t="s">
        <v>335</v>
      </c>
      <c r="D118" s="82" t="s">
        <v>336</v>
      </c>
      <c r="E118" s="410" t="s">
        <v>337</v>
      </c>
      <c r="F118" s="411"/>
      <c r="AA118" s="9"/>
    </row>
    <row r="119" spans="1:27" ht="18" customHeight="1">
      <c r="A119" s="414" t="s">
        <v>338</v>
      </c>
      <c r="B119" s="415"/>
      <c r="C119" s="84">
        <f>InMcMurdo!C116+'FY22 inter'!C116+'FY23 inter'!C116+'FY24 inter'!C116+'FY25 inter'!C116</f>
        <v>52743.667228154351</v>
      </c>
      <c r="D119" s="85">
        <f>InMcMurdo!D116+'FY22 inter'!D116+'FY23 inter'!D116+'FY24 inter'!D116+'FY25 inter'!D116</f>
        <v>1165246.8</v>
      </c>
      <c r="E119" s="410"/>
      <c r="F119" s="411"/>
      <c r="AA119" s="9"/>
    </row>
    <row r="120" spans="1:27" ht="21.95" customHeight="1" thickBot="1">
      <c r="A120" s="412" t="s">
        <v>339</v>
      </c>
      <c r="B120" s="413"/>
      <c r="C120" s="86">
        <f>'FY23 intra'!C116+'FY24 intra'!C116+'FY25 intra'!C116</f>
        <v>52743.667228154358</v>
      </c>
      <c r="D120" s="87">
        <f>'FY23 intra'!D116+'FY24 intra'!D116+'FY25 intra'!D116</f>
        <v>1165246.8</v>
      </c>
      <c r="E120" s="410"/>
      <c r="F120" s="411"/>
      <c r="J120" s="90"/>
      <c r="V120" s="90"/>
      <c r="AA120" s="9"/>
    </row>
    <row r="121" spans="1:27" ht="15.95" thickBot="1">
      <c r="D121" s="73"/>
      <c r="AA121" s="9"/>
    </row>
    <row r="122" spans="1:27">
      <c r="A122" s="416" t="s">
        <v>334</v>
      </c>
      <c r="B122" s="417"/>
      <c r="C122" s="81" t="s">
        <v>335</v>
      </c>
      <c r="D122" s="82" t="s">
        <v>336</v>
      </c>
      <c r="E122" s="410" t="s">
        <v>337</v>
      </c>
      <c r="F122" s="411"/>
      <c r="AA122" s="9"/>
    </row>
    <row r="123" spans="1:27">
      <c r="A123" s="414" t="s">
        <v>338</v>
      </c>
      <c r="B123" s="415"/>
      <c r="C123" s="84">
        <f>InMcMurdo!C117+'FY22 inter'!C117+'FY23 inter'!C117+'FY24 inter'!C117+'FY25 inter'!C117</f>
        <v>52743.667228154351</v>
      </c>
      <c r="D123" s="85">
        <f>InMcMurdo!D117+'FY22 inter'!D117+'FY23 inter'!D117+'FY24 inter'!D117+'FY25 inter'!D117</f>
        <v>1165246.8</v>
      </c>
      <c r="E123" s="410"/>
      <c r="F123" s="411"/>
      <c r="AA123" s="9"/>
    </row>
    <row r="124" spans="1:27" ht="15.95" thickBot="1">
      <c r="A124" s="412" t="s">
        <v>339</v>
      </c>
      <c r="B124" s="413"/>
      <c r="C124" s="86">
        <f>'FY23 intra'!C117+'FY24 intra'!C117+'FY25 intra'!C117</f>
        <v>52743.667228154358</v>
      </c>
      <c r="D124" s="87">
        <f>'FY23 intra'!D117+'FY24 intra'!D117+'FY25 intra'!D117</f>
        <v>1165246.8</v>
      </c>
      <c r="E124" s="410"/>
      <c r="F124" s="411"/>
      <c r="AA124" s="9"/>
    </row>
    <row r="125" spans="1:27">
      <c r="AA125" s="9"/>
    </row>
    <row r="126" spans="1:27">
      <c r="A126" s="2" t="s">
        <v>340</v>
      </c>
      <c r="B126" s="2" t="s">
        <v>341</v>
      </c>
      <c r="C126" s="16" t="s">
        <v>342</v>
      </c>
      <c r="D126" s="16" t="s">
        <v>343</v>
      </c>
      <c r="AA126" s="9"/>
    </row>
    <row r="127" spans="1:27" ht="15.95">
      <c r="A127" s="102">
        <v>44470</v>
      </c>
      <c r="B127" s="102">
        <v>44834</v>
      </c>
      <c r="C127" s="139" t="s">
        <v>344</v>
      </c>
      <c r="D127" s="139" t="s">
        <v>345</v>
      </c>
      <c r="AA127" s="9"/>
    </row>
    <row r="128" spans="1:27" ht="15.95">
      <c r="A128" s="102">
        <v>44835</v>
      </c>
      <c r="B128" s="102">
        <v>44972</v>
      </c>
      <c r="C128" s="139" t="s">
        <v>346</v>
      </c>
      <c r="D128" s="139" t="s">
        <v>345</v>
      </c>
      <c r="AA128" s="9"/>
    </row>
    <row r="129" spans="1:27" ht="15.95">
      <c r="A129" s="102">
        <v>45231</v>
      </c>
      <c r="B129" s="102">
        <v>45337</v>
      </c>
      <c r="C129" s="139" t="s">
        <v>347</v>
      </c>
      <c r="D129" s="139" t="s">
        <v>348</v>
      </c>
      <c r="AA129" s="9"/>
    </row>
    <row r="130" spans="1:27" ht="15.95">
      <c r="A130" s="102">
        <v>45597</v>
      </c>
      <c r="B130" s="102">
        <v>45703</v>
      </c>
      <c r="C130" s="139" t="s">
        <v>349</v>
      </c>
      <c r="D130" s="139" t="s">
        <v>350</v>
      </c>
      <c r="AA130" s="9"/>
    </row>
    <row r="131" spans="1:27">
      <c r="AA131" s="9"/>
    </row>
    <row r="132" spans="1:27">
      <c r="AA132" s="9"/>
    </row>
    <row r="133" spans="1:27">
      <c r="AA133" s="9"/>
    </row>
    <row r="134" spans="1:27">
      <c r="AA134" s="9"/>
    </row>
    <row r="135" spans="1:27">
      <c r="AA135" s="9"/>
    </row>
    <row r="136" spans="1:27">
      <c r="AA136" s="9"/>
    </row>
    <row r="137" spans="1:27">
      <c r="AA137" s="9"/>
    </row>
    <row r="138" spans="1:27">
      <c r="AA138" s="9"/>
    </row>
    <row r="139" spans="1:27">
      <c r="AA139" s="9"/>
    </row>
    <row r="140" spans="1:27">
      <c r="AA140" s="9"/>
    </row>
    <row r="141" spans="1:27">
      <c r="AA141" s="9"/>
    </row>
    <row r="142" spans="1:27">
      <c r="AA142" s="9"/>
    </row>
    <row r="143" spans="1:27">
      <c r="AA143" s="9"/>
    </row>
    <row r="144" spans="1:27">
      <c r="AA144" s="9"/>
    </row>
    <row r="145" spans="27:27">
      <c r="AA145" s="9"/>
    </row>
    <row r="146" spans="27:27">
      <c r="AA146" s="9"/>
    </row>
    <row r="147" spans="27:27">
      <c r="AA147" s="9"/>
    </row>
    <row r="148" spans="27:27">
      <c r="AA148" s="9"/>
    </row>
    <row r="149" spans="27:27">
      <c r="AA149" s="9"/>
    </row>
    <row r="150" spans="27:27">
      <c r="AA150" s="9"/>
    </row>
    <row r="151" spans="27:27">
      <c r="AA151" s="9"/>
    </row>
    <row r="152" spans="27:27">
      <c r="AA152" s="9"/>
    </row>
    <row r="153" spans="27:27">
      <c r="AA153" s="9"/>
    </row>
    <row r="154" spans="27:27">
      <c r="AA154" s="9"/>
    </row>
    <row r="155" spans="27:27">
      <c r="AA155" s="9"/>
    </row>
    <row r="156" spans="27:27">
      <c r="AA156" s="9"/>
    </row>
    <row r="157" spans="27:27">
      <c r="AA157" s="9"/>
    </row>
    <row r="158" spans="27:27">
      <c r="AA158" s="9"/>
    </row>
    <row r="159" spans="27:27">
      <c r="AA159" s="9"/>
    </row>
    <row r="160" spans="27:27">
      <c r="AA160" s="9"/>
    </row>
    <row r="161" spans="27:27">
      <c r="AA161" s="9"/>
    </row>
    <row r="162" spans="27:27">
      <c r="AA162" s="9"/>
    </row>
    <row r="163" spans="27:27">
      <c r="AA163" s="9"/>
    </row>
    <row r="164" spans="27:27">
      <c r="AA164" s="9"/>
    </row>
    <row r="165" spans="27:27">
      <c r="AA165" s="9"/>
    </row>
    <row r="166" spans="27:27">
      <c r="AA166" s="9"/>
    </row>
    <row r="167" spans="27:27">
      <c r="AA167" s="9"/>
    </row>
    <row r="168" spans="27:27">
      <c r="AA168" s="9"/>
    </row>
    <row r="169" spans="27:27">
      <c r="AA169" s="9"/>
    </row>
    <row r="170" spans="27:27">
      <c r="AA170" s="9"/>
    </row>
    <row r="171" spans="27:27">
      <c r="AA171" s="9"/>
    </row>
    <row r="172" spans="27:27">
      <c r="AA172" s="9"/>
    </row>
    <row r="173" spans="27:27">
      <c r="AA173" s="9"/>
    </row>
    <row r="174" spans="27:27">
      <c r="AA174" s="9"/>
    </row>
    <row r="175" spans="27:27">
      <c r="AA175" s="9"/>
    </row>
    <row r="176" spans="27:27">
      <c r="AA176" s="9"/>
    </row>
    <row r="177" spans="27:27">
      <c r="AA177" s="9"/>
    </row>
    <row r="178" spans="27:27">
      <c r="AA178" s="9"/>
    </row>
    <row r="179" spans="27:27">
      <c r="AA179" s="9"/>
    </row>
    <row r="180" spans="27:27">
      <c r="AA180" s="9"/>
    </row>
    <row r="181" spans="27:27">
      <c r="AA181" s="9"/>
    </row>
    <row r="182" spans="27:27">
      <c r="AA182" s="9"/>
    </row>
    <row r="183" spans="27:27">
      <c r="AA183" s="9"/>
    </row>
    <row r="184" spans="27:27">
      <c r="AA184" s="9"/>
    </row>
    <row r="185" spans="27:27">
      <c r="AA185" s="9"/>
    </row>
    <row r="186" spans="27:27">
      <c r="AA186" s="9"/>
    </row>
    <row r="187" spans="27:27">
      <c r="AA187" s="9"/>
    </row>
    <row r="188" spans="27:27">
      <c r="AA188" s="9"/>
    </row>
    <row r="189" spans="27:27">
      <c r="AA189" s="9"/>
    </row>
    <row r="190" spans="27:27">
      <c r="AA190" s="9"/>
    </row>
    <row r="191" spans="27:27">
      <c r="AA191" s="9"/>
    </row>
    <row r="192" spans="27:27">
      <c r="AA192" s="9"/>
    </row>
    <row r="193" spans="27:27">
      <c r="AA193" s="9"/>
    </row>
    <row r="194" spans="27:27">
      <c r="AA194" s="9"/>
    </row>
    <row r="195" spans="27:27">
      <c r="AA195" s="9"/>
    </row>
    <row r="196" spans="27:27">
      <c r="AA196" s="9"/>
    </row>
    <row r="197" spans="27:27">
      <c r="AA197" s="9"/>
    </row>
    <row r="198" spans="27:27">
      <c r="AA198" s="9"/>
    </row>
    <row r="199" spans="27:27">
      <c r="AA199" s="9"/>
    </row>
    <row r="200" spans="27:27">
      <c r="AA200" s="9"/>
    </row>
    <row r="201" spans="27:27">
      <c r="AA201" s="9"/>
    </row>
    <row r="202" spans="27:27">
      <c r="AA202" s="9"/>
    </row>
    <row r="203" spans="27:27">
      <c r="AA203" s="9"/>
    </row>
    <row r="204" spans="27:27">
      <c r="AA204" s="9"/>
    </row>
    <row r="205" spans="27:27">
      <c r="AA205" s="9"/>
    </row>
    <row r="206" spans="27:27">
      <c r="AA206" s="9"/>
    </row>
    <row r="207" spans="27:27">
      <c r="AA207" s="9"/>
    </row>
    <row r="208" spans="27:27">
      <c r="AA208" s="9"/>
    </row>
    <row r="209" spans="27:27">
      <c r="AA209" s="9"/>
    </row>
    <row r="210" spans="27:27">
      <c r="AA210" s="9"/>
    </row>
    <row r="211" spans="27:27">
      <c r="AA211" s="9"/>
    </row>
    <row r="212" spans="27:27">
      <c r="AA212" s="9"/>
    </row>
    <row r="213" spans="27:27">
      <c r="AA213" s="9"/>
    </row>
    <row r="214" spans="27:27">
      <c r="AA214" s="9"/>
    </row>
    <row r="215" spans="27:27">
      <c r="AA215" s="9"/>
    </row>
    <row r="216" spans="27:27">
      <c r="AA216" s="9"/>
    </row>
    <row r="217" spans="27:27">
      <c r="AA217" s="9"/>
    </row>
    <row r="218" spans="27:27">
      <c r="AA218" s="9"/>
    </row>
    <row r="219" spans="27:27">
      <c r="AA219" s="9"/>
    </row>
    <row r="220" spans="27:27">
      <c r="AA220" s="9"/>
    </row>
    <row r="221" spans="27:27">
      <c r="AA221" s="9"/>
    </row>
    <row r="222" spans="27:27">
      <c r="AA222" s="9"/>
    </row>
    <row r="223" spans="27:27">
      <c r="AA223" s="9"/>
    </row>
    <row r="224" spans="27:27">
      <c r="AA224" s="9"/>
    </row>
    <row r="225" spans="27:27">
      <c r="AA225" s="9"/>
    </row>
    <row r="226" spans="27:27">
      <c r="AA226" s="9"/>
    </row>
    <row r="227" spans="27:27">
      <c r="AA227" s="9"/>
    </row>
    <row r="228" spans="27:27">
      <c r="AA228" s="9"/>
    </row>
    <row r="229" spans="27:27">
      <c r="AA229" s="9"/>
    </row>
    <row r="230" spans="27:27">
      <c r="AA230" s="9"/>
    </row>
    <row r="231" spans="27:27">
      <c r="AA231" s="9"/>
    </row>
    <row r="232" spans="27:27">
      <c r="AA232" s="9"/>
    </row>
    <row r="233" spans="27:27">
      <c r="AA233" s="9"/>
    </row>
    <row r="234" spans="27:27">
      <c r="AA234" s="9"/>
    </row>
    <row r="235" spans="27:27">
      <c r="AA235" s="9"/>
    </row>
    <row r="236" spans="27:27">
      <c r="AA236" s="9"/>
    </row>
    <row r="237" spans="27:27">
      <c r="AA237" s="9"/>
    </row>
    <row r="238" spans="27:27">
      <c r="AA238" s="9"/>
    </row>
    <row r="239" spans="27:27">
      <c r="AA239" s="9"/>
    </row>
    <row r="240" spans="27:27">
      <c r="AA240" s="9"/>
    </row>
    <row r="241" spans="27:27">
      <c r="AA241" s="9"/>
    </row>
    <row r="242" spans="27:27">
      <c r="AA242" s="9"/>
    </row>
    <row r="243" spans="27:27">
      <c r="AA243" s="9"/>
    </row>
    <row r="244" spans="27:27">
      <c r="AA244" s="9"/>
    </row>
    <row r="245" spans="27:27">
      <c r="AA245" s="9"/>
    </row>
    <row r="246" spans="27:27">
      <c r="AA246" s="9"/>
    </row>
    <row r="247" spans="27:27">
      <c r="AA247" s="9"/>
    </row>
    <row r="248" spans="27:27">
      <c r="AA248" s="9"/>
    </row>
    <row r="249" spans="27:27">
      <c r="AA249" s="9"/>
    </row>
    <row r="250" spans="27:27">
      <c r="AA250" s="9"/>
    </row>
    <row r="251" spans="27:27">
      <c r="AA251" s="9"/>
    </row>
    <row r="252" spans="27:27">
      <c r="AA252" s="9"/>
    </row>
    <row r="253" spans="27:27">
      <c r="AA253" s="9"/>
    </row>
    <row r="254" spans="27:27">
      <c r="AA254" s="9"/>
    </row>
    <row r="255" spans="27:27">
      <c r="AA255" s="9"/>
    </row>
    <row r="256" spans="27:27">
      <c r="AA256" s="9"/>
    </row>
    <row r="257" spans="27:27">
      <c r="AA257" s="9"/>
    </row>
    <row r="258" spans="27:27">
      <c r="AA258" s="9"/>
    </row>
    <row r="259" spans="27:27">
      <c r="AA259" s="9"/>
    </row>
    <row r="260" spans="27:27">
      <c r="AA260" s="9"/>
    </row>
    <row r="261" spans="27:27">
      <c r="AA261" s="9"/>
    </row>
    <row r="262" spans="27:27">
      <c r="AA262" s="9"/>
    </row>
    <row r="263" spans="27:27">
      <c r="AA263" s="9"/>
    </row>
    <row r="264" spans="27:27">
      <c r="AA264" s="9"/>
    </row>
  </sheetData>
  <sortState xmlns:xlrd2="http://schemas.microsoft.com/office/spreadsheetml/2017/richdata2" ref="A20:AK108">
    <sortCondition descending="1" ref="AC1:AC108"/>
  </sortState>
  <mergeCells count="8">
    <mergeCell ref="E118:F120"/>
    <mergeCell ref="E122:F124"/>
    <mergeCell ref="A124:B124"/>
    <mergeCell ref="A119:B119"/>
    <mergeCell ref="A120:B120"/>
    <mergeCell ref="A118:B118"/>
    <mergeCell ref="A122:B122"/>
    <mergeCell ref="A123:B123"/>
  </mergeCells>
  <phoneticPr fontId="10" type="noConversion"/>
  <conditionalFormatting sqref="C118:C124">
    <cfRule type="cellIs" dxfId="40" priority="4" operator="equal">
      <formula>$I$93</formula>
    </cfRule>
  </conditionalFormatting>
  <conditionalFormatting sqref="D118:D124">
    <cfRule type="cellIs" dxfId="39" priority="5" operator="equal">
      <formula>$K$93</formula>
    </cfRule>
  </conditionalFormatting>
  <conditionalFormatting sqref="O2:O93">
    <cfRule type="cellIs" dxfId="38" priority="1" operator="between">
      <formula>31</formula>
      <formula>60</formula>
    </cfRule>
    <cfRule type="cellIs" dxfId="37" priority="2" operator="between">
      <formula>0.1</formula>
      <formula>30</formula>
    </cfRule>
  </conditionalFormatting>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99380-9998-8C46-93D6-87C9D585DA1A}">
  <sheetPr codeName="Sheet8" filterMode="1"/>
  <dimension ref="A1:AN353"/>
  <sheetViews>
    <sheetView topLeftCell="Z1" workbookViewId="0">
      <selection activeCell="O33" sqref="O1:O1048576"/>
    </sheetView>
  </sheetViews>
  <sheetFormatPr defaultColWidth="9.140625" defaultRowHeight="15"/>
  <cols>
    <col min="1" max="2" width="12.85546875" style="9" customWidth="1"/>
    <col min="3" max="3" width="28" style="15" customWidth="1"/>
    <col min="4" max="4" width="73.7109375" style="15" customWidth="1"/>
    <col min="5" max="7" width="12" style="9" customWidth="1"/>
    <col min="8" max="8" width="10.140625" style="9" customWidth="1"/>
    <col min="9" max="10" width="8.7109375" style="9" customWidth="1"/>
    <col min="11" max="11" width="10" style="9" customWidth="1"/>
    <col min="12" max="12" width="16.28515625" style="74" customWidth="1"/>
    <col min="13" max="13" width="12.7109375" style="9" customWidth="1"/>
    <col min="14" max="14" width="17.140625" style="9" customWidth="1"/>
    <col min="15" max="15" width="17.140625" style="401" customWidth="1"/>
    <col min="16" max="16" width="17.7109375" style="80" customWidth="1"/>
    <col min="17" max="18" width="16.7109375" style="80" customWidth="1"/>
    <col min="19" max="19" width="17.7109375" style="9" customWidth="1"/>
    <col min="20" max="21" width="16.7109375" style="9" customWidth="1"/>
    <col min="22" max="22" width="17.7109375" style="9" customWidth="1"/>
    <col min="23" max="24" width="16.7109375" style="9" customWidth="1"/>
    <col min="25" max="25" width="18.85546875" style="80" customWidth="1"/>
    <col min="26" max="26" width="19.7109375" style="383" customWidth="1"/>
    <col min="27" max="27" width="16.42578125" style="9" customWidth="1"/>
    <col min="28" max="29" width="16.42578125" style="80" customWidth="1"/>
    <col min="30" max="32" width="16.42578125" style="9" customWidth="1"/>
    <col min="33" max="36" width="16.42578125" style="80" customWidth="1"/>
    <col min="37" max="37" width="60.7109375" style="9" customWidth="1"/>
    <col min="38" max="16384" width="9.140625" style="9"/>
  </cols>
  <sheetData>
    <row r="1" spans="1:40" ht="102">
      <c r="A1" s="28" t="str" cm="1">
        <f t="array" ref="A1:AL93">IF(ISBLANK(cargo_table), "", cargo_table)</f>
        <v>Cargo Item  respective WBS Level</v>
      </c>
      <c r="B1" s="28" t="str">
        <v>Work Package</v>
      </c>
      <c r="C1" s="29" t="str">
        <v>Item Description</v>
      </c>
      <c r="D1" s="30" t="str">
        <v>Contents &amp; Comments</v>
      </c>
      <c r="E1" s="28" t="str">
        <v>Length (in)</v>
      </c>
      <c r="F1" s="28" t="str">
        <v>Width (in)</v>
      </c>
      <c r="G1" s="28" t="str">
        <v>Height (in)</v>
      </c>
      <c r="H1" s="28" t="str">
        <v>Quantity</v>
      </c>
      <c r="I1" s="28" t="str">
        <v xml:space="preserve"> Cubic feet</v>
      </c>
      <c r="J1" s="28" t="str">
        <v>Unit weight (lbs)</v>
      </c>
      <c r="K1" s="28" t="str">
        <v>Total Weight (lbs) = quantity x unit weight</v>
      </c>
      <c r="L1" s="28" t="str">
        <v>Basis of Estimate</v>
      </c>
      <c r="M1" s="28" t="str">
        <v>Special Handling?</v>
      </c>
      <c r="N1" s="28" t="str">
        <v xml:space="preserve">Owner/Guardian institution </v>
      </c>
      <c r="O1" s="405" t="str">
        <v>Time between date of completion and shipping date</v>
      </c>
      <c r="P1" s="93" t="str">
        <v xml:space="preserve">Date of expected  or actual  completion </v>
      </c>
      <c r="Q1" s="93" t="str">
        <v>Expected Route:  Owner - PTH or CHC</v>
      </c>
      <c r="R1" s="93" t="str">
        <v xml:space="preserve">Date of expected or actual shipment </v>
      </c>
      <c r="S1" s="32" t="str">
        <v>Recommended Transportation Option</v>
      </c>
      <c r="T1" s="32" t="str">
        <v>Expected Route: PTH - MCM or CHC</v>
      </c>
      <c r="U1" s="32" t="str">
        <v xml:space="preserve">Date of expected or actual shipment </v>
      </c>
      <c r="V1" s="33" t="str">
        <v>Recommended Transportation Option</v>
      </c>
      <c r="W1" s="33" t="str">
        <v>Expected Route: CHC - MCM</v>
      </c>
      <c r="X1" s="33" t="str">
        <v xml:space="preserve">Date of expected or actual shipment </v>
      </c>
      <c r="Y1" s="83" t="str">
        <v>Recommended Transportation Option</v>
      </c>
      <c r="Z1" s="83" t="str">
        <v>Date Item expected or arrived to MCM</v>
      </c>
      <c r="AA1" s="28" t="str">
        <v xml:space="preserve">Date of (planned) or actual shipment to SPA </v>
      </c>
      <c r="AB1" s="83" t="str">
        <v>Recommended LC-130 or SPOT</v>
      </c>
      <c r="AC1" s="83" t="str">
        <v>Date/Month for Items needed at South Pole</v>
      </c>
      <c r="AD1" s="28" t="str">
        <v>Critical Path</v>
      </c>
      <c r="AE1" s="28" t="str">
        <v>Intercontinental shipping</v>
      </c>
      <c r="AF1" s="28" t="str">
        <v>Intracontinental shipping</v>
      </c>
      <c r="AG1" s="83" t="str">
        <v>Validator 1
(SME)</v>
      </c>
      <c r="AH1" s="83" t="str">
        <v>Validation Date</v>
      </c>
      <c r="AI1" s="83" t="str">
        <v>Validator 2
(Logistics)</v>
      </c>
      <c r="AJ1" s="83" t="str">
        <v>Validation Date</v>
      </c>
      <c r="AK1" s="28" t="str">
        <v>Notes</v>
      </c>
      <c r="AL1" s="9" t="str">
        <v/>
      </c>
    </row>
    <row r="2" spans="1:40" ht="33.950000000000003">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98" t="str">
        <v>In McMurdo</v>
      </c>
      <c r="P2" s="429">
        <v>43867</v>
      </c>
      <c r="Q2" s="429" t="str">
        <v>In McMurdo</v>
      </c>
      <c r="R2" s="429" t="str">
        <v>-</v>
      </c>
      <c r="S2" s="430" t="str">
        <v>-</v>
      </c>
      <c r="T2" s="431" t="str">
        <v>In McMurdo</v>
      </c>
      <c r="U2" s="431" t="str">
        <v>-</v>
      </c>
      <c r="V2" s="432" t="str">
        <v>-</v>
      </c>
      <c r="W2" s="433" t="str">
        <v>In McMurdo</v>
      </c>
      <c r="X2" s="433" t="str">
        <v>-</v>
      </c>
      <c r="Y2" s="88" t="str">
        <v>-</v>
      </c>
      <c r="Z2" s="426" t="str">
        <v>In McMurdo</v>
      </c>
      <c r="AA2" s="409" t="str">
        <v>-</v>
      </c>
      <c r="AB2" s="435" t="str">
        <v>SPoT</v>
      </c>
      <c r="AC2" s="435">
        <v>45261</v>
      </c>
      <c r="AD2" s="409" t="str">
        <v>Yes</v>
      </c>
      <c r="AE2" s="409" t="str">
        <v>In McMurdo</v>
      </c>
      <c r="AF2" s="409" t="str">
        <v>FY24 intra</v>
      </c>
      <c r="AG2" s="435" t="str">
        <v>D. Gibson</v>
      </c>
      <c r="AH2" s="435">
        <v>44475</v>
      </c>
      <c r="AI2" s="435" t="str">
        <v>I. McEwen</v>
      </c>
      <c r="AJ2" s="78">
        <v>44475</v>
      </c>
      <c r="AK2" s="409" t="str">
        <v>Will require crane for onload/offload  - use belly band to support container sidewalls during lift.</v>
      </c>
      <c r="AL2" s="9" t="str">
        <v/>
      </c>
    </row>
    <row r="3" spans="1:40" ht="51" hidden="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8">
        <v>43845</v>
      </c>
      <c r="Q3" s="429" t="str">
        <v>In McMurdo</v>
      </c>
      <c r="R3" s="428" t="str">
        <v>-</v>
      </c>
      <c r="S3" s="430" t="str">
        <v>-</v>
      </c>
      <c r="T3" s="431" t="str">
        <v>In McMurdo</v>
      </c>
      <c r="U3" s="431" t="str">
        <v>-</v>
      </c>
      <c r="V3" s="432" t="str">
        <v>-</v>
      </c>
      <c r="W3" s="433" t="str">
        <v>In McMurdo</v>
      </c>
      <c r="X3" s="433" t="str">
        <v>-</v>
      </c>
      <c r="Y3" s="88" t="str">
        <v>-</v>
      </c>
      <c r="Z3" s="434" t="str">
        <v>In McMurdo</v>
      </c>
      <c r="AA3" s="409" t="str">
        <v>-</v>
      </c>
      <c r="AB3" s="435" t="str">
        <v>SPoT</v>
      </c>
      <c r="AC3" s="409">
        <v>44927</v>
      </c>
      <c r="AD3" s="409" t="str">
        <v>Yes</v>
      </c>
      <c r="AE3" s="409" t="str">
        <v>In McMurdo</v>
      </c>
      <c r="AF3" s="409" t="str">
        <v>FY23 intra</v>
      </c>
      <c r="AG3" s="409" t="str">
        <v>D. Gibson</v>
      </c>
      <c r="AH3" s="409">
        <v>44475</v>
      </c>
      <c r="AI3" s="409" t="str">
        <v>I. McEwen</v>
      </c>
      <c r="AJ3" s="10">
        <v>44475</v>
      </c>
      <c r="AK3" s="10" t="str">
        <v>Gens 2 &amp; 3 need to be tranferred from ISO2 sleds that are limited to use on improved surfaces only. Will require crane for onload/offload  - use belly band to support container sidewalls during lift.</v>
      </c>
      <c r="AL3" s="9" t="str">
        <v/>
      </c>
    </row>
    <row r="4" spans="1:40" ht="42.95" hidden="1"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8">
        <v>43845</v>
      </c>
      <c r="Q4" s="429" t="str">
        <v>In McMurdo</v>
      </c>
      <c r="R4" s="428" t="str">
        <v>-</v>
      </c>
      <c r="S4" s="430" t="str">
        <v>-</v>
      </c>
      <c r="T4" s="431" t="str">
        <v>In McMurdo</v>
      </c>
      <c r="U4" s="431" t="str">
        <v>-</v>
      </c>
      <c r="V4" s="432" t="str">
        <v>-</v>
      </c>
      <c r="W4" s="433" t="str">
        <v>In McMurdo</v>
      </c>
      <c r="X4" s="433" t="str">
        <v>-</v>
      </c>
      <c r="Y4" s="88" t="str">
        <v>-</v>
      </c>
      <c r="Z4" s="434" t="str">
        <v>In McMurdo</v>
      </c>
      <c r="AA4" s="409" t="str">
        <v>-</v>
      </c>
      <c r="AB4" s="435" t="str">
        <v>SPoT</v>
      </c>
      <c r="AC4" s="409">
        <v>44896</v>
      </c>
      <c r="AD4" s="409" t="str">
        <v>Yes</v>
      </c>
      <c r="AE4" s="409" t="str">
        <v>In McMurdo</v>
      </c>
      <c r="AF4" s="409" t="str">
        <v>FY23 intra</v>
      </c>
      <c r="AG4" s="409" t="str">
        <v>D. Gibson</v>
      </c>
      <c r="AH4" s="409">
        <v>44475</v>
      </c>
      <c r="AI4" s="409" t="str">
        <v>I. McEwen</v>
      </c>
      <c r="AJ4" s="10">
        <v>44475</v>
      </c>
      <c r="AK4" s="409" t="str">
        <v>Gens 2 &amp; 3 need to be tranferred from ISO2 sleds that are limited to use on improved surfaces only. Will require crane for onload/offload  - use belly band to support container sidewalls during lift.</v>
      </c>
      <c r="AL4" s="9" t="str">
        <v/>
      </c>
    </row>
    <row r="5" spans="1:40" ht="34.5" hidden="1"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8">
        <v>43753</v>
      </c>
      <c r="Q5" s="94" t="str">
        <v>In McMurdo</v>
      </c>
      <c r="R5" s="428">
        <v>43784</v>
      </c>
      <c r="S5" s="430" t="str">
        <v>Truck</v>
      </c>
      <c r="T5" s="431" t="str">
        <v>In McMurdo</v>
      </c>
      <c r="U5" s="431" t="str">
        <v>-</v>
      </c>
      <c r="V5" s="432" t="str">
        <v>-</v>
      </c>
      <c r="W5" s="433" t="str">
        <v>In McMurdo</v>
      </c>
      <c r="X5" s="433" t="str">
        <v>-</v>
      </c>
      <c r="Y5" s="88" t="str">
        <v>-</v>
      </c>
      <c r="Z5" s="434" t="str">
        <v>In McMurdo</v>
      </c>
      <c r="AA5" s="427" t="str">
        <v>-</v>
      </c>
      <c r="AB5" s="435" t="str">
        <v>LC-130/SPoT</v>
      </c>
      <c r="AC5" s="409">
        <v>44896</v>
      </c>
      <c r="AD5" s="409" t="str">
        <v>No*</v>
      </c>
      <c r="AE5" s="409" t="str">
        <v>In McMurdo</v>
      </c>
      <c r="AF5" s="409" t="str">
        <v>FY23 intra</v>
      </c>
      <c r="AG5" s="409" t="str">
        <v>D. Gibson</v>
      </c>
      <c r="AH5" s="409">
        <v>44476</v>
      </c>
      <c r="AI5" s="409" t="str">
        <v>I. McEwen</v>
      </c>
      <c r="AJ5" s="52">
        <v>44476</v>
      </c>
      <c r="AK5" s="409" t="str">
        <v>*Required onsite early in FY23 for refit/pre-drill activity support unless ASC can supply dedicated loader for Upgrade use</v>
      </c>
      <c r="AL5" s="9" t="str">
        <v/>
      </c>
    </row>
    <row r="6" spans="1:40" ht="44.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98" t="str">
        <v>In McMurdo</v>
      </c>
      <c r="P6" s="429">
        <v>43814</v>
      </c>
      <c r="Q6" s="429" t="str">
        <v>In McMurdo</v>
      </c>
      <c r="R6" s="429" t="str">
        <v/>
      </c>
      <c r="S6" s="431" t="str">
        <v/>
      </c>
      <c r="T6" s="431" t="str">
        <v>In McMurdo</v>
      </c>
      <c r="U6" s="431" t="str">
        <v>-</v>
      </c>
      <c r="V6" s="433" t="str">
        <v>-</v>
      </c>
      <c r="W6" s="433" t="str">
        <v>In McMurdo</v>
      </c>
      <c r="X6" s="433" t="str">
        <v>-</v>
      </c>
      <c r="Y6" s="88" t="str">
        <v>-</v>
      </c>
      <c r="Z6" s="426" t="str">
        <v>In McMurdo</v>
      </c>
      <c r="AA6" s="427" t="str">
        <v>-</v>
      </c>
      <c r="AB6" s="435" t="str">
        <v>LC-130/SPoT</v>
      </c>
      <c r="AC6" s="435">
        <v>45292</v>
      </c>
      <c r="AD6" s="409" t="str">
        <v>No</v>
      </c>
      <c r="AE6" s="409" t="str">
        <v>In McMurdo</v>
      </c>
      <c r="AF6" s="409" t="str">
        <v>FY24 intra</v>
      </c>
      <c r="AG6" s="435" t="str">
        <v>D. Gibson</v>
      </c>
      <c r="AH6" s="435">
        <v>44477</v>
      </c>
      <c r="AI6" s="435" t="str">
        <v>I. McEwen</v>
      </c>
      <c r="AJ6" s="435">
        <v>44477</v>
      </c>
      <c r="AK6" s="409" t="str">
        <v>Testing/limited operation of Gens can be accomplished without hoods - Hoods required for the drill season</v>
      </c>
      <c r="AL6" s="9" t="str">
        <v/>
      </c>
    </row>
    <row r="7" spans="1:40" ht="38.25"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98" t="str">
        <v>In McMurdo</v>
      </c>
      <c r="P7" s="429">
        <v>43845</v>
      </c>
      <c r="Q7" s="429" t="str">
        <v>In McMurdo</v>
      </c>
      <c r="R7" s="429" t="str">
        <v/>
      </c>
      <c r="S7" s="431" t="str">
        <v/>
      </c>
      <c r="T7" s="431" t="str">
        <v>In McMurdo</v>
      </c>
      <c r="U7" s="431" t="str">
        <v>-</v>
      </c>
      <c r="V7" s="433" t="str">
        <v>-</v>
      </c>
      <c r="W7" s="433" t="str">
        <v>In McMurdo</v>
      </c>
      <c r="X7" s="433" t="str">
        <v>-</v>
      </c>
      <c r="Y7" s="88" t="str">
        <v>-</v>
      </c>
      <c r="Z7" s="426" t="str">
        <v>In McMurdo</v>
      </c>
      <c r="AA7" s="427" t="str">
        <v>-</v>
      </c>
      <c r="AB7" s="435" t="str">
        <v>LC-130/SPoT</v>
      </c>
      <c r="AC7" s="435">
        <v>45261</v>
      </c>
      <c r="AD7" s="409" t="str">
        <v>Yes</v>
      </c>
      <c r="AE7" s="409" t="str">
        <v>In McMurdo</v>
      </c>
      <c r="AF7" s="409" t="str">
        <v>FY24 intra</v>
      </c>
      <c r="AG7" s="435" t="str">
        <v>D. Gibson</v>
      </c>
      <c r="AH7" s="435">
        <v>44477</v>
      </c>
      <c r="AI7" s="435" t="str">
        <v>I. McEwen</v>
      </c>
      <c r="AJ7" s="435">
        <v>44477</v>
      </c>
      <c r="AK7" s="409" t="str">
        <v>Bermed in McMurdo - SPOTSA</v>
      </c>
      <c r="AL7" s="9" t="str">
        <v/>
      </c>
    </row>
    <row r="8" spans="1:40" ht="17.10000000000000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98" t="str">
        <v>In McMurdo</v>
      </c>
      <c r="P8" s="429">
        <v>43845</v>
      </c>
      <c r="Q8" s="429" t="str">
        <v>In McMurdo</v>
      </c>
      <c r="R8" s="429" t="str">
        <v>-</v>
      </c>
      <c r="S8" s="431" t="str">
        <v>-</v>
      </c>
      <c r="T8" s="431" t="str">
        <v>In McMurdo</v>
      </c>
      <c r="U8" s="431" t="str">
        <v>-</v>
      </c>
      <c r="V8" s="432" t="str">
        <v>-</v>
      </c>
      <c r="W8" s="433" t="str">
        <v>In McMurdo</v>
      </c>
      <c r="X8" s="433" t="str">
        <v>-</v>
      </c>
      <c r="Y8" s="88" t="str">
        <v>-</v>
      </c>
      <c r="Z8" s="426" t="str">
        <v>In McMurdo</v>
      </c>
      <c r="AA8" s="427" t="str">
        <v>-</v>
      </c>
      <c r="AB8" s="435" t="str">
        <v>LC-130/SPoT</v>
      </c>
      <c r="AC8" s="435">
        <v>45261</v>
      </c>
      <c r="AD8" s="409" t="str">
        <v>Yes</v>
      </c>
      <c r="AE8" s="409" t="str">
        <v>In McMurdo</v>
      </c>
      <c r="AF8" s="409" t="str">
        <v>FY24 intra</v>
      </c>
      <c r="AG8" s="435" t="str">
        <v>D. Gibson</v>
      </c>
      <c r="AH8" s="435">
        <v>44477</v>
      </c>
      <c r="AI8" s="435" t="str">
        <v>I. McEwen</v>
      </c>
      <c r="AJ8" s="435">
        <v>44477</v>
      </c>
      <c r="AK8" s="409" t="str">
        <v/>
      </c>
      <c r="AL8" s="9" t="str">
        <v/>
      </c>
    </row>
    <row r="9" spans="1:40" ht="17.10000000000000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98" t="str">
        <v>In McMurdo</v>
      </c>
      <c r="P9" s="429">
        <v>43845</v>
      </c>
      <c r="Q9" s="429" t="str">
        <v>In McMurdo</v>
      </c>
      <c r="R9" s="429" t="str">
        <v>-</v>
      </c>
      <c r="S9" s="431" t="str">
        <v>-</v>
      </c>
      <c r="T9" s="431" t="str">
        <v>In McMurdo</v>
      </c>
      <c r="U9" s="431" t="str">
        <v>-</v>
      </c>
      <c r="V9" s="432" t="str">
        <v>-</v>
      </c>
      <c r="W9" s="433" t="str">
        <v>In McMurdo</v>
      </c>
      <c r="X9" s="433" t="str">
        <v>-</v>
      </c>
      <c r="Y9" s="88" t="str">
        <v>-</v>
      </c>
      <c r="Z9" s="426" t="str">
        <v>In McMurdo</v>
      </c>
      <c r="AA9" s="427" t="str">
        <v>-</v>
      </c>
      <c r="AB9" s="435" t="str">
        <v>LC-130/SPoT</v>
      </c>
      <c r="AC9" s="435">
        <v>45261</v>
      </c>
      <c r="AD9" s="409" t="str">
        <v>Yes</v>
      </c>
      <c r="AE9" s="409" t="str">
        <v>In McMurdo</v>
      </c>
      <c r="AF9" s="409" t="str">
        <v>FY24 intra</v>
      </c>
      <c r="AG9" s="435" t="str">
        <v>D. Gibson</v>
      </c>
      <c r="AH9" s="435">
        <v>44477</v>
      </c>
      <c r="AI9" s="435" t="str">
        <v>I. McEwen</v>
      </c>
      <c r="AJ9" s="435">
        <v>44477</v>
      </c>
      <c r="AK9" s="409" t="str">
        <v/>
      </c>
      <c r="AL9" s="9" t="str">
        <v/>
      </c>
    </row>
    <row r="10" spans="1:40" s="91" customFormat="1" ht="31.5"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98" t="str">
        <v>In McMurdo</v>
      </c>
      <c r="P10" s="429">
        <v>43845</v>
      </c>
      <c r="Q10" s="429" t="str">
        <v>In McMurdo</v>
      </c>
      <c r="R10" s="429" t="str">
        <v/>
      </c>
      <c r="S10" s="431" t="str">
        <v/>
      </c>
      <c r="T10" s="431" t="str">
        <v>In McMurdo</v>
      </c>
      <c r="U10" s="431" t="str">
        <v>-</v>
      </c>
      <c r="V10" s="433" t="str">
        <v>-</v>
      </c>
      <c r="W10" s="433" t="str">
        <v>In McMurdo</v>
      </c>
      <c r="X10" s="433" t="str">
        <v>-</v>
      </c>
      <c r="Y10" s="88" t="str">
        <v>-</v>
      </c>
      <c r="Z10" s="426" t="str">
        <v>In McMurdo</v>
      </c>
      <c r="AA10" s="427" t="str">
        <v>-</v>
      </c>
      <c r="AB10" s="435" t="str">
        <v>LC-130/SPoT</v>
      </c>
      <c r="AC10" s="435">
        <v>45275</v>
      </c>
      <c r="AD10" s="409" t="str">
        <v>No</v>
      </c>
      <c r="AE10" s="409" t="str">
        <v>In McMurdo</v>
      </c>
      <c r="AF10" s="409" t="str">
        <v>FY24 intra</v>
      </c>
      <c r="AG10" s="435" t="str">
        <v>D. Gibson</v>
      </c>
      <c r="AH10" s="435">
        <v>44477</v>
      </c>
      <c r="AI10" s="435" t="str">
        <v>I. McEwen</v>
      </c>
      <c r="AJ10" s="435">
        <v>44477</v>
      </c>
      <c r="AK10" s="409" t="str">
        <v>Bermed in McMurdo - SPOTSA on UNL flatrack</v>
      </c>
      <c r="AL10" s="9" t="str">
        <v/>
      </c>
      <c r="AM10" s="9"/>
      <c r="AN10" s="9"/>
    </row>
    <row r="11" spans="1:40" ht="44.1" hidden="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8">
        <v>43845</v>
      </c>
      <c r="Q11" s="429" t="str">
        <v>In McMurdo</v>
      </c>
      <c r="R11" s="428"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09">
        <v>44927</v>
      </c>
      <c r="AD11" s="409" t="str">
        <v>Yes</v>
      </c>
      <c r="AE11" s="409" t="str">
        <v>In McMurdo</v>
      </c>
      <c r="AF11" s="409" t="str">
        <v>FY23 intra</v>
      </c>
      <c r="AG11" s="409" t="str">
        <v>D. Gibson</v>
      </c>
      <c r="AH11" s="409">
        <v>44477</v>
      </c>
      <c r="AI11" s="409" t="str">
        <v>I. McEwen</v>
      </c>
      <c r="AJ11" s="409">
        <v>44477</v>
      </c>
      <c r="AK11" s="409" t="str">
        <v>Bermed in McMurdo - SPOTSA on UNL flatrack - overland shipment preferred due to complexities of air transport certification - can be laid on side once drained</v>
      </c>
      <c r="AL11" s="9" t="str">
        <v/>
      </c>
    </row>
    <row r="12" spans="1:40" ht="5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98" t="str">
        <v>In McMurdo</v>
      </c>
      <c r="P12" s="429">
        <v>43845</v>
      </c>
      <c r="Q12" s="429" t="str">
        <v>In McMurdo</v>
      </c>
      <c r="R12" s="429" t="str">
        <v/>
      </c>
      <c r="S12" s="431" t="str">
        <v/>
      </c>
      <c r="T12" s="431" t="str">
        <v>In McMurdo</v>
      </c>
      <c r="U12" s="431" t="str">
        <v>-</v>
      </c>
      <c r="V12" s="433" t="str">
        <v>-</v>
      </c>
      <c r="W12" s="433" t="str">
        <v>In McMurdo</v>
      </c>
      <c r="X12" s="433" t="str">
        <v>-</v>
      </c>
      <c r="Y12" s="88" t="str">
        <v>-</v>
      </c>
      <c r="Z12" s="426" t="str">
        <v>In McMurdo</v>
      </c>
      <c r="AA12" s="409" t="str">
        <v>-</v>
      </c>
      <c r="AB12" s="435" t="str">
        <v>SPoT</v>
      </c>
      <c r="AC12" s="435">
        <v>45292</v>
      </c>
      <c r="AD12" s="409" t="str">
        <v>Yes</v>
      </c>
      <c r="AE12" s="409" t="str">
        <v>In McMurdo</v>
      </c>
      <c r="AF12" s="409" t="str">
        <v>FY24 intra</v>
      </c>
      <c r="AG12" s="435" t="str">
        <v>D. Gibson</v>
      </c>
      <c r="AH12" s="435">
        <v>44477</v>
      </c>
      <c r="AI12" s="435" t="str">
        <v>I. McEwen</v>
      </c>
      <c r="AJ12" s="435">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ht="51" hidden="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96" t="str">
        <v>Already at PTH</v>
      </c>
      <c r="P14" s="428">
        <v>44193</v>
      </c>
      <c r="Q14" s="94" t="str">
        <v>Already at PTH</v>
      </c>
      <c r="R14" s="428">
        <v>44211</v>
      </c>
      <c r="S14" s="430" t="str">
        <v>Truck</v>
      </c>
      <c r="T14" s="12" t="str">
        <v>PTH - MCM</v>
      </c>
      <c r="U14" s="431" t="str">
        <v>-</v>
      </c>
      <c r="V14" s="432" t="str">
        <v>USAP Vessel</v>
      </c>
      <c r="W14" s="433" t="str">
        <v>USAP Vessel</v>
      </c>
      <c r="X14" s="433" t="str">
        <v>-</v>
      </c>
      <c r="Y14" s="100" t="str">
        <v>-</v>
      </c>
      <c r="Z14" s="434">
        <v>44598</v>
      </c>
      <c r="AA14" s="427" t="str">
        <v>-</v>
      </c>
      <c r="AB14" s="435" t="str">
        <v>LC-130/SPoT</v>
      </c>
      <c r="AC14" s="409">
        <v>44910</v>
      </c>
      <c r="AD14" s="409" t="str">
        <v>No*</v>
      </c>
      <c r="AE14" s="409" t="str">
        <v>FY22 inter</v>
      </c>
      <c r="AF14" s="409" t="str">
        <v>FY23 intra</v>
      </c>
      <c r="AG14" s="409" t="str">
        <v>D. Gibson</v>
      </c>
      <c r="AH14" s="409">
        <v>44477</v>
      </c>
      <c r="AI14" s="409" t="str">
        <v>I. McEwen</v>
      </c>
      <c r="AJ14" s="409">
        <v>44477</v>
      </c>
      <c r="AK14" s="409" t="str">
        <v>*While this shipment is not on the critical path additional ASC crane support will be required to overcome delayed arrival or sleds furnished from the South Pole inventory</v>
      </c>
      <c r="AL14" s="9" t="str">
        <v/>
      </c>
    </row>
    <row r="15" spans="1:40" ht="33.950000000000003">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98" t="str">
        <v>Already at PTH</v>
      </c>
      <c r="P15" s="429">
        <v>44112</v>
      </c>
      <c r="Q15" s="94" t="str">
        <v>Already at PTH</v>
      </c>
      <c r="R15" s="429">
        <v>44159</v>
      </c>
      <c r="S15" s="430" t="str">
        <v>Truck</v>
      </c>
      <c r="T15" s="440" t="str">
        <v>PTH - MCM</v>
      </c>
      <c r="U15" s="431" t="str">
        <v>-</v>
      </c>
      <c r="V15" s="432" t="str">
        <v>USAP Vessel</v>
      </c>
      <c r="W15" s="433" t="str">
        <v>USAP Vessel</v>
      </c>
      <c r="X15" s="433" t="str">
        <v>-</v>
      </c>
      <c r="Y15" s="100" t="str">
        <v>-</v>
      </c>
      <c r="Z15" s="426">
        <v>44963</v>
      </c>
      <c r="AA15" s="409" t="str">
        <v>-</v>
      </c>
      <c r="AB15" s="435" t="str">
        <v>LC-130/SPoT</v>
      </c>
      <c r="AC15" s="435">
        <v>45292</v>
      </c>
      <c r="AD15" s="409" t="str">
        <v>Yes</v>
      </c>
      <c r="AE15" s="409" t="str">
        <v>FY23 inter</v>
      </c>
      <c r="AF15" s="61" t="str">
        <v>FY24 intra</v>
      </c>
      <c r="AG15" s="204" t="str">
        <v>D. Gibson</v>
      </c>
      <c r="AH15" s="204">
        <v>44477</v>
      </c>
      <c r="AI15" s="204" t="str">
        <v>I. McEwen</v>
      </c>
      <c r="AJ15" s="435">
        <v>44477</v>
      </c>
      <c r="AK15" s="409" t="str">
        <v/>
      </c>
      <c r="AL15" s="9" t="str">
        <v/>
      </c>
    </row>
    <row r="16" spans="1:40" ht="33.950000000000003">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98" t="str">
        <v>Already at PTH</v>
      </c>
      <c r="P16" s="429">
        <v>44112</v>
      </c>
      <c r="Q16" s="94" t="str">
        <v>Already at PTH</v>
      </c>
      <c r="R16" s="429">
        <v>44159</v>
      </c>
      <c r="S16" s="430" t="str">
        <v>Truck</v>
      </c>
      <c r="T16" s="440" t="str">
        <v>PTH - MCM</v>
      </c>
      <c r="U16" s="431" t="str">
        <v>-</v>
      </c>
      <c r="V16" s="432" t="str">
        <v>USAP Vessel</v>
      </c>
      <c r="W16" s="433" t="str">
        <v>USAP Vessel</v>
      </c>
      <c r="X16" s="433" t="str">
        <v>-</v>
      </c>
      <c r="Y16" s="100" t="str">
        <v>-</v>
      </c>
      <c r="Z16" s="426">
        <v>44963</v>
      </c>
      <c r="AA16" s="409" t="str">
        <v>-</v>
      </c>
      <c r="AB16" s="435" t="str">
        <v>LC-130/SPoT</v>
      </c>
      <c r="AC16" s="435">
        <v>45292</v>
      </c>
      <c r="AD16" s="409" t="str">
        <v>Yes</v>
      </c>
      <c r="AE16" s="409" t="str">
        <v>FY23 inter</v>
      </c>
      <c r="AF16" s="61" t="str">
        <v>FY24 intra</v>
      </c>
      <c r="AG16" s="204" t="str">
        <v>D. Gibson</v>
      </c>
      <c r="AH16" s="204">
        <v>44477</v>
      </c>
      <c r="AI16" s="204" t="str">
        <v>I. McEwen</v>
      </c>
      <c r="AJ16" s="435">
        <v>44477</v>
      </c>
      <c r="AK16" s="409" t="str">
        <v/>
      </c>
      <c r="AL16" s="9" t="str">
        <v/>
      </c>
    </row>
    <row r="17" spans="1:40" ht="34.35"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98" t="str">
        <v>Already at PTH</v>
      </c>
      <c r="P17" s="429">
        <v>44041</v>
      </c>
      <c r="Q17" s="94" t="str">
        <v>Already at PTH</v>
      </c>
      <c r="R17" s="429">
        <v>44058</v>
      </c>
      <c r="S17" s="430" t="str">
        <v>Truck</v>
      </c>
      <c r="T17" s="440" t="str">
        <v>PTH - MCM</v>
      </c>
      <c r="U17" s="431" t="str">
        <v>-</v>
      </c>
      <c r="V17" s="432" t="str">
        <v>USAP Vessel</v>
      </c>
      <c r="W17" s="433" t="str">
        <v>USAP Vessel</v>
      </c>
      <c r="X17" s="433" t="str">
        <v>-</v>
      </c>
      <c r="Y17" s="100" t="str">
        <v>-</v>
      </c>
      <c r="Z17" s="426">
        <v>44963</v>
      </c>
      <c r="AA17" s="427" t="str">
        <v>-</v>
      </c>
      <c r="AB17" s="435" t="str">
        <v>LC-130/SPoT</v>
      </c>
      <c r="AC17" s="435">
        <v>45292</v>
      </c>
      <c r="AD17" s="409" t="str">
        <v>Yes</v>
      </c>
      <c r="AE17" s="409" t="str">
        <v>FY23 inter</v>
      </c>
      <c r="AF17" s="61" t="str">
        <v>FY24 intra</v>
      </c>
      <c r="AG17" s="204" t="str">
        <v>D. Gibson</v>
      </c>
      <c r="AH17" s="204">
        <v>44477</v>
      </c>
      <c r="AI17" s="204" t="str">
        <v>I. McEwen</v>
      </c>
      <c r="AJ17" s="435">
        <v>44477</v>
      </c>
      <c r="AK17" s="409" t="str">
        <v>Hose to be installed on Main Supply Hose Reel upon arrival at Pole</v>
      </c>
      <c r="AL17" s="9" t="str">
        <v/>
      </c>
    </row>
    <row r="18" spans="1:40" ht="34.35"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98" t="str">
        <v>Already at PTH</v>
      </c>
      <c r="P18" s="429">
        <v>44154</v>
      </c>
      <c r="Q18" s="94" t="str">
        <v>Already at PTH</v>
      </c>
      <c r="R18" s="429">
        <v>44211</v>
      </c>
      <c r="S18" s="430" t="str">
        <v>Truck</v>
      </c>
      <c r="T18" s="440" t="str">
        <v>PTH - MCM</v>
      </c>
      <c r="U18" s="431" t="str">
        <v>-</v>
      </c>
      <c r="V18" s="432" t="str">
        <v>USAP Vessel</v>
      </c>
      <c r="W18" s="433" t="str">
        <v>USAP Vessel</v>
      </c>
      <c r="X18" s="433" t="str">
        <v>-</v>
      </c>
      <c r="Y18" s="100" t="str">
        <v>-</v>
      </c>
      <c r="Z18" s="426">
        <v>44963</v>
      </c>
      <c r="AA18" s="427" t="str">
        <v>-</v>
      </c>
      <c r="AB18" s="435" t="str">
        <v>LC-130/SPoT</v>
      </c>
      <c r="AC18" s="435">
        <v>45292</v>
      </c>
      <c r="AD18" s="409" t="str">
        <v>Yes</v>
      </c>
      <c r="AE18" s="409" t="str">
        <v>FY23 inter</v>
      </c>
      <c r="AF18" s="61" t="str">
        <v>FY24 intra</v>
      </c>
      <c r="AG18" s="204" t="str">
        <v>D. Gibson</v>
      </c>
      <c r="AH18" s="204">
        <v>44477</v>
      </c>
      <c r="AI18" s="204" t="str">
        <v>I. McEwen</v>
      </c>
      <c r="AJ18" s="435">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63" t="str">
        <v/>
      </c>
      <c r="F19" s="64" t="str">
        <v/>
      </c>
      <c r="G19" s="44" t="str">
        <v>TEU=&gt;</v>
      </c>
      <c r="H19" s="63">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ht="39.75" hidden="1" customHeight="1" thickTop="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26">
        <v>12</v>
      </c>
      <c r="P20" s="443">
        <v>44503</v>
      </c>
      <c r="Q20" s="429" t="str">
        <v>UWM - PTH</v>
      </c>
      <c r="R20" s="428">
        <v>44515</v>
      </c>
      <c r="S20" s="430" t="str">
        <v xml:space="preserve"> Truck</v>
      </c>
      <c r="T20" s="440" t="str">
        <v>PTH - MCM</v>
      </c>
      <c r="U20" s="47" t="str">
        <v>-</v>
      </c>
      <c r="V20" s="432" t="str">
        <v>USAP Vessel</v>
      </c>
      <c r="W20" s="433" t="str">
        <v>USAP Vessel</v>
      </c>
      <c r="X20" s="433" t="str">
        <v>-</v>
      </c>
      <c r="Y20" s="100" t="str">
        <v>-</v>
      </c>
      <c r="Z20" s="434">
        <v>44598</v>
      </c>
      <c r="AA20" s="409" t="str">
        <v>-</v>
      </c>
      <c r="AB20" s="435" t="str">
        <v>LC-130</v>
      </c>
      <c r="AC20" s="409">
        <v>44880</v>
      </c>
      <c r="AD20" s="409" t="str">
        <v>Yes</v>
      </c>
      <c r="AE20" s="409" t="str">
        <v>FY22 inter</v>
      </c>
      <c r="AF20" s="61" t="str">
        <v>FY23 intra</v>
      </c>
      <c r="AG20" s="409" t="str">
        <v>D. Gibson</v>
      </c>
      <c r="AH20" s="61">
        <v>44477</v>
      </c>
      <c r="AI20" s="61" t="str">
        <v>I. McEwen</v>
      </c>
      <c r="AJ20" s="409">
        <v>44477</v>
      </c>
      <c r="AK20" s="61" t="str">
        <v xml:space="preserve">8' container moves with contents by LC130 or is broken down for movement by Basler. Packing in progress. </v>
      </c>
      <c r="AL20" s="9" t="str">
        <v/>
      </c>
    </row>
    <row r="21" spans="1:40" ht="47.25" hidden="1"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26">
        <v>2</v>
      </c>
      <c r="P21" s="443">
        <v>44513</v>
      </c>
      <c r="Q21" s="429" t="str">
        <v>UWM - PTH</v>
      </c>
      <c r="R21" s="428">
        <v>44515</v>
      </c>
      <c r="S21" s="430" t="str">
        <v xml:space="preserve"> Truck</v>
      </c>
      <c r="T21" s="440" t="str">
        <v>PTH - MCM</v>
      </c>
      <c r="U21" s="47" t="str">
        <v>-</v>
      </c>
      <c r="V21" s="432" t="str">
        <v>USAP Vessel</v>
      </c>
      <c r="W21" s="433" t="str">
        <v>USAP Vessel</v>
      </c>
      <c r="X21" s="433" t="str">
        <v>-</v>
      </c>
      <c r="Y21" s="100" t="str">
        <v>-</v>
      </c>
      <c r="Z21" s="434">
        <v>44598</v>
      </c>
      <c r="AA21" s="409" t="str">
        <v>-</v>
      </c>
      <c r="AB21" s="435" t="str">
        <v>LC-130/SPoT</v>
      </c>
      <c r="AC21" s="409">
        <v>44896</v>
      </c>
      <c r="AD21" s="409" t="str">
        <v>Yes</v>
      </c>
      <c r="AE21" s="409" t="str">
        <v>FY22 inter</v>
      </c>
      <c r="AF21" s="409" t="str">
        <v>FY23 intra</v>
      </c>
      <c r="AG21" s="409" t="str">
        <v>D. Gibson</v>
      </c>
      <c r="AH21" s="409">
        <v>44477</v>
      </c>
      <c r="AI21" s="409" t="str">
        <v>I. McEwen</v>
      </c>
      <c r="AJ21" s="409">
        <v>44477</v>
      </c>
      <c r="AK21" s="409" t="str">
        <v xml:space="preserve">For air shipment container contents will need to be unloaded and palletized. Container procurement delayed by shortage. Packing in progress. </v>
      </c>
      <c r="AL21" s="9" t="str">
        <v/>
      </c>
    </row>
    <row r="22" spans="1:40" ht="51" hidden="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26" t="str">
        <v>in transit</v>
      </c>
      <c r="P22" s="443">
        <v>44502</v>
      </c>
      <c r="Q22" s="429" t="str">
        <v>UWM - PTH</v>
      </c>
      <c r="R22" s="428">
        <v>44515</v>
      </c>
      <c r="S22" s="430" t="str">
        <v>Truck</v>
      </c>
      <c r="T22" s="431" t="str">
        <v>PTH - MCM</v>
      </c>
      <c r="U22" s="47" t="str">
        <v>-</v>
      </c>
      <c r="V22" s="432" t="str">
        <v>USAP Vessel</v>
      </c>
      <c r="W22" s="433" t="str">
        <v>USAP Vessel</v>
      </c>
      <c r="X22" s="433" t="str">
        <v>-</v>
      </c>
      <c r="Y22" s="100" t="str">
        <v>-</v>
      </c>
      <c r="Z22" s="434">
        <v>44598</v>
      </c>
      <c r="AA22" s="409" t="str">
        <v>-</v>
      </c>
      <c r="AB22" s="435" t="str">
        <v>LC-130/SPoT</v>
      </c>
      <c r="AC22" s="409">
        <v>44910</v>
      </c>
      <c r="AD22" s="409" t="str">
        <v>Yes</v>
      </c>
      <c r="AE22" s="409" t="str">
        <v>FY22 inter</v>
      </c>
      <c r="AF22" s="409" t="str">
        <v>FY23 intra</v>
      </c>
      <c r="AG22" s="409" t="str">
        <v>D. Gibson</v>
      </c>
      <c r="AH22" s="409">
        <v>44477</v>
      </c>
      <c r="AI22" s="409" t="str">
        <v>I. McEwen</v>
      </c>
      <c r="AJ22" s="409">
        <v>44477</v>
      </c>
      <c r="AK22" s="409" t="str">
        <v>For air shipment container contents will need to be unloaded and palletized</v>
      </c>
      <c r="AL22" s="9" t="str">
        <v/>
      </c>
    </row>
    <row r="23" spans="1:40" ht="79.5" hidden="1"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96" t="str">
        <v>in transit</v>
      </c>
      <c r="P23" s="443">
        <v>44502</v>
      </c>
      <c r="Q23" s="429" t="str">
        <v>UWM - PTH</v>
      </c>
      <c r="R23" s="428">
        <v>44515</v>
      </c>
      <c r="S23" s="430" t="str">
        <v xml:space="preserve"> Truck</v>
      </c>
      <c r="T23" s="440" t="str">
        <v>PTH - MCM</v>
      </c>
      <c r="U23" s="431" t="str">
        <v>-</v>
      </c>
      <c r="V23" s="432" t="str">
        <v>USAP Vessel</v>
      </c>
      <c r="W23" s="433" t="str">
        <v>USAP Vessel</v>
      </c>
      <c r="X23" s="433" t="str">
        <v>-</v>
      </c>
      <c r="Y23" s="100" t="str">
        <v>-</v>
      </c>
      <c r="Z23" s="434">
        <v>44598</v>
      </c>
      <c r="AA23" s="409" t="str">
        <v>-</v>
      </c>
      <c r="AB23" s="435" t="str">
        <v>LC-130/SPoT</v>
      </c>
      <c r="AC23" s="409">
        <v>44910</v>
      </c>
      <c r="AD23" s="409" t="str">
        <v>Yes*</v>
      </c>
      <c r="AE23" s="409" t="str">
        <v>FY22 inter</v>
      </c>
      <c r="AF23" s="61" t="str">
        <v>FY23 intra</v>
      </c>
      <c r="AG23" s="409" t="str">
        <v>D. Gibson</v>
      </c>
      <c r="AH23" s="61">
        <v>44477</v>
      </c>
      <c r="AI23" s="61" t="str">
        <v>I. McEwen</v>
      </c>
      <c r="AJ23" s="409">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ht="36.75" hidden="1"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26" t="str">
        <v>in transit</v>
      </c>
      <c r="P24" s="443">
        <v>44495</v>
      </c>
      <c r="Q24" s="429" t="str">
        <v>UWM - PTH</v>
      </c>
      <c r="R24" s="428">
        <v>44515</v>
      </c>
      <c r="S24" s="430" t="str">
        <v xml:space="preserve"> Truck</v>
      </c>
      <c r="T24" s="440" t="str">
        <v>PTH - MCM</v>
      </c>
      <c r="U24" s="47" t="str">
        <v>-</v>
      </c>
      <c r="V24" s="432" t="str">
        <v>USAP Vessel</v>
      </c>
      <c r="W24" s="433" t="str">
        <v>USAP Vessel</v>
      </c>
      <c r="X24" s="433" t="str">
        <v>-</v>
      </c>
      <c r="Y24" s="100" t="str">
        <v>-</v>
      </c>
      <c r="Z24" s="434">
        <v>44598</v>
      </c>
      <c r="AA24" s="409" t="str">
        <v>-</v>
      </c>
      <c r="AB24" s="435" t="str">
        <v>LC-130/SPoT</v>
      </c>
      <c r="AC24" s="409">
        <v>44927</v>
      </c>
      <c r="AD24" s="409" t="str">
        <v>Yes</v>
      </c>
      <c r="AE24" s="409" t="str">
        <v>FY22 inter</v>
      </c>
      <c r="AF24" s="61" t="str">
        <v>FY23 intra</v>
      </c>
      <c r="AG24" s="409" t="str">
        <v>D. Gibson</v>
      </c>
      <c r="AH24" s="61">
        <v>44477</v>
      </c>
      <c r="AI24" s="61" t="str">
        <v>I. McEwen</v>
      </c>
      <c r="AJ24" s="409">
        <v>44477</v>
      </c>
      <c r="AK24" s="61" t="str">
        <v>Weight from Gen 1 shipment information see picture.</v>
      </c>
      <c r="AL24" s="9" t="str">
        <v/>
      </c>
    </row>
    <row r="25" spans="1:40" ht="27.75" hidden="1"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26">
        <v>7</v>
      </c>
      <c r="P25" s="443">
        <v>44508</v>
      </c>
      <c r="Q25" s="429" t="str">
        <v>UWM - PTH</v>
      </c>
      <c r="R25" s="428">
        <v>44515</v>
      </c>
      <c r="S25" s="430" t="str">
        <v xml:space="preserve"> Truck</v>
      </c>
      <c r="T25" s="440" t="str">
        <v>PTH - MCM</v>
      </c>
      <c r="U25" s="47" t="str">
        <v>-</v>
      </c>
      <c r="V25" s="432" t="str">
        <v>USAP Vessel</v>
      </c>
      <c r="W25" s="433" t="str">
        <v>USAP Vessel</v>
      </c>
      <c r="X25" s="433" t="str">
        <v>-</v>
      </c>
      <c r="Y25" s="100" t="str">
        <v>-</v>
      </c>
      <c r="Z25" s="434">
        <v>44598</v>
      </c>
      <c r="AA25" s="409" t="str">
        <v>-</v>
      </c>
      <c r="AB25" s="435" t="str">
        <v>LC-130/SPoT</v>
      </c>
      <c r="AC25" s="409">
        <v>44927</v>
      </c>
      <c r="AD25" s="409" t="str">
        <v>Yes</v>
      </c>
      <c r="AE25" s="409" t="str">
        <v>FY22 inter</v>
      </c>
      <c r="AF25" s="61" t="str">
        <v>FY23 intra</v>
      </c>
      <c r="AG25" s="409" t="str">
        <v>D. Gibson</v>
      </c>
      <c r="AH25" s="61">
        <v>44477</v>
      </c>
      <c r="AI25" s="61" t="str">
        <v>I. McEwen</v>
      </c>
      <c r="AJ25" s="409">
        <v>44477</v>
      </c>
      <c r="AK25" s="61" t="str">
        <v xml:space="preserve">Required onsite in FS Y1 for final integration and pre-drill activities. Shrink wrap contractor rescheduled for later date. </v>
      </c>
      <c r="AL25" s="9" t="str">
        <v/>
      </c>
    </row>
    <row r="26" spans="1:40" s="13" customFormat="1" ht="68.099999999999994" hidden="1">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26">
        <v>381</v>
      </c>
      <c r="P26" s="443">
        <v>44301</v>
      </c>
      <c r="Q26" s="429" t="str">
        <v>UWM - PTH</v>
      </c>
      <c r="R26" s="428">
        <v>44682</v>
      </c>
      <c r="S26" s="430" t="str">
        <v>Truck</v>
      </c>
      <c r="T26" s="431" t="str">
        <v>PTH - CHC</v>
      </c>
      <c r="U26" s="431" t="str">
        <v>-</v>
      </c>
      <c r="V26" s="432" t="str">
        <v>ComSur</v>
      </c>
      <c r="W26" s="433" t="str">
        <v>CHC-MCM</v>
      </c>
      <c r="X26" s="433" t="str">
        <v>-</v>
      </c>
      <c r="Y26" s="426" t="str">
        <v>USAP Air</v>
      </c>
      <c r="Z26" s="434">
        <v>44866</v>
      </c>
      <c r="AA26" s="434" t="str">
        <v>-</v>
      </c>
      <c r="AB26" s="426" t="str">
        <v>LC-130</v>
      </c>
      <c r="AC26" s="444">
        <v>44896</v>
      </c>
      <c r="AD26" s="409" t="str">
        <v>Yes</v>
      </c>
      <c r="AE26" s="409" t="str">
        <v>FY23 inter</v>
      </c>
      <c r="AF26" s="65" t="str">
        <v>FY23 intra</v>
      </c>
      <c r="AG26" s="444" t="str">
        <v>D. Gibson</v>
      </c>
      <c r="AH26" s="65">
        <v>44477</v>
      </c>
      <c r="AI26" s="65" t="str">
        <v>I. McEwen</v>
      </c>
      <c r="AJ26" s="444">
        <v>44477</v>
      </c>
      <c r="AK26" s="65" t="str">
        <v>Weight estimated</v>
      </c>
      <c r="AL26" s="13" t="str">
        <v/>
      </c>
    </row>
    <row r="27" spans="1:40" ht="33.950000000000003">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98">
        <v>31</v>
      </c>
      <c r="P27" s="429">
        <v>45108</v>
      </c>
      <c r="Q27" s="429" t="str">
        <v>UWM - PTH</v>
      </c>
      <c r="R27" s="429">
        <v>45139</v>
      </c>
      <c r="S27" s="430" t="str">
        <v>Truck</v>
      </c>
      <c r="T27" s="431" t="str">
        <v>PTH - CHC</v>
      </c>
      <c r="U27" s="431" t="str">
        <v>-</v>
      </c>
      <c r="V27" s="432" t="str">
        <v>ComSur</v>
      </c>
      <c r="W27" s="433" t="str">
        <v>CHC-MCM</v>
      </c>
      <c r="X27" s="433" t="str">
        <v>-</v>
      </c>
      <c r="Y27" s="435" t="str">
        <v>USAP Air</v>
      </c>
      <c r="Z27" s="426">
        <v>45231</v>
      </c>
      <c r="AA27" s="409" t="str">
        <v>-</v>
      </c>
      <c r="AB27" s="435" t="str">
        <v>LC-130</v>
      </c>
      <c r="AC27" s="435">
        <v>45261</v>
      </c>
      <c r="AD27" s="409" t="str">
        <v>Yes</v>
      </c>
      <c r="AE27" s="409" t="str">
        <v>FY24 inter</v>
      </c>
      <c r="AF27" s="409" t="str">
        <v>FY24 intra</v>
      </c>
      <c r="AG27" s="435" t="str">
        <v>J. Kelley</v>
      </c>
      <c r="AH27" s="435">
        <v>44481</v>
      </c>
      <c r="AI27" s="435" t="str">
        <v>D. Tosi</v>
      </c>
      <c r="AJ27" s="435">
        <v>44481</v>
      </c>
      <c r="AK27" s="409" t="str">
        <v/>
      </c>
      <c r="AL27" s="9" t="str">
        <v/>
      </c>
    </row>
    <row r="28" spans="1:40" ht="33.75" customHeight="1">
      <c r="A28" s="35">
        <v>1.4</v>
      </c>
      <c r="B28" s="51" t="str">
        <v>Installation</v>
      </c>
      <c r="C28" s="21" t="str">
        <v>ICL patch cables and patch panels</v>
      </c>
      <c r="D28" s="1"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98">
        <v>61</v>
      </c>
      <c r="P28" s="429">
        <v>45078</v>
      </c>
      <c r="Q28" s="429" t="str">
        <v>UWM - PTH</v>
      </c>
      <c r="R28" s="429">
        <v>45139</v>
      </c>
      <c r="S28" s="430" t="str">
        <v>Truck</v>
      </c>
      <c r="T28" s="431" t="str">
        <v>PTH - CHC</v>
      </c>
      <c r="U28" s="431" t="str">
        <v>-</v>
      </c>
      <c r="V28" s="432" t="str">
        <v>ComSur</v>
      </c>
      <c r="W28" s="433" t="str">
        <v>CHC-MCM</v>
      </c>
      <c r="X28" s="433" t="str">
        <v>-</v>
      </c>
      <c r="Y28" s="435" t="str">
        <v>USAP Air</v>
      </c>
      <c r="Z28" s="426">
        <v>45231</v>
      </c>
      <c r="AA28" s="427" t="str">
        <v>-</v>
      </c>
      <c r="AB28" s="435" t="str">
        <v>LC-130</v>
      </c>
      <c r="AC28" s="435">
        <v>45261</v>
      </c>
      <c r="AD28" s="409" t="str">
        <v>Yes</v>
      </c>
      <c r="AE28" s="409" t="str">
        <v>FY24 inter</v>
      </c>
      <c r="AF28" s="409" t="str">
        <v>FY24 intra</v>
      </c>
      <c r="AG28" s="435" t="str">
        <v>J. Kelley</v>
      </c>
      <c r="AH28" s="435">
        <v>44481</v>
      </c>
      <c r="AI28" s="435" t="str">
        <v>D. Tosi</v>
      </c>
      <c r="AJ28" s="435">
        <v>44481</v>
      </c>
      <c r="AK28" s="409" t="str">
        <v xml:space="preserve">(*) storage in McMurdo pending low temperature test </v>
      </c>
      <c r="AL28" s="9" t="str">
        <v/>
      </c>
    </row>
    <row r="29" spans="1:40" s="27" customFormat="1" ht="33.950000000000003" hidden="1">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78">
        <v>381</v>
      </c>
      <c r="P29" s="98">
        <v>44301</v>
      </c>
      <c r="Q29" s="95" t="str">
        <v>UWM - PTH</v>
      </c>
      <c r="R29" s="99">
        <v>44682</v>
      </c>
      <c r="S29" s="430" t="str">
        <v xml:space="preserve"> Truck</v>
      </c>
      <c r="T29" s="97" t="str">
        <v>PTH - CHC</v>
      </c>
      <c r="U29" s="431" t="str">
        <v>-</v>
      </c>
      <c r="V29" s="432" t="str">
        <v>ComSur</v>
      </c>
      <c r="W29" s="79" t="str">
        <v>CHC-MCM</v>
      </c>
      <c r="X29" s="433" t="str">
        <v>-</v>
      </c>
      <c r="Y29" s="426" t="str">
        <v>USAP Air</v>
      </c>
      <c r="Z29" s="10">
        <v>44866</v>
      </c>
      <c r="AA29" s="10" t="str">
        <v>-</v>
      </c>
      <c r="AB29" s="78" t="str">
        <v xml:space="preserve">LC-130 </v>
      </c>
      <c r="AC29" s="26">
        <v>44896</v>
      </c>
      <c r="AD29" s="409" t="str">
        <v>Yes</v>
      </c>
      <c r="AE29" s="409" t="str">
        <v>FY23 inter</v>
      </c>
      <c r="AF29" s="34" t="str">
        <v>FY23 intra</v>
      </c>
      <c r="AG29" s="26" t="str">
        <v>D. Gibson</v>
      </c>
      <c r="AH29" s="66">
        <v>44477</v>
      </c>
      <c r="AI29" s="66" t="str">
        <v>I. McEwen</v>
      </c>
      <c r="AJ29" s="66">
        <v>44477</v>
      </c>
      <c r="AK29" s="66" t="str">
        <v/>
      </c>
      <c r="AL29" s="27" t="str">
        <v/>
      </c>
    </row>
    <row r="30" spans="1:40" s="27" customFormat="1" ht="33.950000000000003" hidden="1">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78">
        <v>381</v>
      </c>
      <c r="P30" s="98">
        <v>44301</v>
      </c>
      <c r="Q30" s="95" t="str">
        <v>UWM - PTH</v>
      </c>
      <c r="R30" s="99">
        <v>44682</v>
      </c>
      <c r="S30" s="430" t="str">
        <v xml:space="preserve"> Truck</v>
      </c>
      <c r="T30" s="97" t="str">
        <v>PTH - CHC</v>
      </c>
      <c r="U30" s="431" t="str">
        <v>-</v>
      </c>
      <c r="V30" s="432" t="str">
        <v>ComSur</v>
      </c>
      <c r="W30" s="79" t="str">
        <v>CHC-MCM</v>
      </c>
      <c r="X30" s="433" t="str">
        <v>-</v>
      </c>
      <c r="Y30" s="426" t="str">
        <v>USAP Air</v>
      </c>
      <c r="Z30" s="10">
        <v>44866</v>
      </c>
      <c r="AA30" s="26" t="str">
        <v>-</v>
      </c>
      <c r="AB30" s="78" t="str">
        <v>LC-130/SPoT</v>
      </c>
      <c r="AC30" s="26">
        <v>44896</v>
      </c>
      <c r="AD30" s="409" t="str">
        <v>Yes</v>
      </c>
      <c r="AE30" s="409" t="str">
        <v>FY23 inter</v>
      </c>
      <c r="AF30" s="34" t="str">
        <v>FY23 intra</v>
      </c>
      <c r="AG30" s="26" t="str">
        <v>D. Gibson</v>
      </c>
      <c r="AH30" s="66">
        <v>44477</v>
      </c>
      <c r="AI30" s="66" t="str">
        <v>I. McEwen</v>
      </c>
      <c r="AJ30" s="66">
        <v>44477</v>
      </c>
      <c r="AK30" s="66" t="str">
        <v/>
      </c>
      <c r="AL30" s="27" t="str">
        <v/>
      </c>
    </row>
    <row r="31" spans="1:40" ht="41.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98">
        <v>157</v>
      </c>
      <c r="P31" s="429">
        <v>44358</v>
      </c>
      <c r="Q31" s="95" t="str">
        <v>UWM - PTH</v>
      </c>
      <c r="R31" s="429">
        <v>44515</v>
      </c>
      <c r="S31" s="430" t="str">
        <v>Truck</v>
      </c>
      <c r="T31" s="440" t="str">
        <v>PTH - MCM</v>
      </c>
      <c r="U31" s="431" t="str">
        <v>-</v>
      </c>
      <c r="V31" s="39" t="str">
        <v>USAP Vessel</v>
      </c>
      <c r="W31" s="433" t="str">
        <v>USAP Vessel</v>
      </c>
      <c r="X31" s="433" t="str">
        <v>-</v>
      </c>
      <c r="Y31" s="100" t="str">
        <v>-</v>
      </c>
      <c r="Z31" s="426">
        <v>44598</v>
      </c>
      <c r="AA31" s="409" t="str">
        <v>-</v>
      </c>
      <c r="AB31" s="435" t="str">
        <v>LC-130/SPoT</v>
      </c>
      <c r="AC31" s="435">
        <v>45261</v>
      </c>
      <c r="AD31" s="409" t="str">
        <v>Yes</v>
      </c>
      <c r="AE31" s="409" t="str">
        <v>FY22 inter</v>
      </c>
      <c r="AF31" s="409" t="str">
        <v>FY24 intra</v>
      </c>
      <c r="AG31" s="435" t="str">
        <v>D. Gibson</v>
      </c>
      <c r="AH31" s="435">
        <v>44477</v>
      </c>
      <c r="AI31" s="435" t="str">
        <v>I. McEwen</v>
      </c>
      <c r="AJ31" s="435">
        <v>44477</v>
      </c>
      <c r="AK31" s="409" t="str">
        <v/>
      </c>
      <c r="AL31" s="9" t="str">
        <v/>
      </c>
    </row>
    <row r="32" spans="1:40" ht="33.950000000000003">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98">
        <v>349</v>
      </c>
      <c r="P32" s="429">
        <v>44531</v>
      </c>
      <c r="Q32" s="429" t="str">
        <v>UWM - PTH</v>
      </c>
      <c r="R32" s="429">
        <v>44880</v>
      </c>
      <c r="S32" s="430" t="str">
        <v>Truck</v>
      </c>
      <c r="T32" s="431" t="str">
        <v>PTH - MCM</v>
      </c>
      <c r="U32" s="431" t="str">
        <v>-</v>
      </c>
      <c r="V32" s="432" t="str">
        <v>USAP Vessel</v>
      </c>
      <c r="W32" s="433" t="str">
        <v>USAP Vessel</v>
      </c>
      <c r="X32" s="433" t="str">
        <v>-</v>
      </c>
      <c r="Y32" s="435" t="str">
        <v>-</v>
      </c>
      <c r="Z32" s="426">
        <v>44963</v>
      </c>
      <c r="AA32" s="409" t="str">
        <v>-</v>
      </c>
      <c r="AB32" s="435" t="str">
        <v>LC-130/SPoT</v>
      </c>
      <c r="AC32" s="435">
        <v>45323</v>
      </c>
      <c r="AD32" s="409" t="str">
        <v>No</v>
      </c>
      <c r="AE32" s="409" t="str">
        <v>FY23 inter</v>
      </c>
      <c r="AF32" s="409" t="str">
        <v>FY24 intra</v>
      </c>
      <c r="AG32" s="435" t="str">
        <v>D. Gibson</v>
      </c>
      <c r="AH32" s="435">
        <v>44477</v>
      </c>
      <c r="AI32" s="435" t="str">
        <v>I. McEwen</v>
      </c>
      <c r="AJ32" s="435">
        <v>44477</v>
      </c>
      <c r="AK32" s="409" t="str">
        <v>Weight and cube used from Gen 1 shipping label still on bull wheel.</v>
      </c>
      <c r="AL32" s="9" t="str">
        <v/>
      </c>
    </row>
    <row r="33" spans="1:38" ht="33.950000000000003">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98">
        <v>31</v>
      </c>
      <c r="P33" s="429">
        <v>44849</v>
      </c>
      <c r="Q33" s="429" t="str">
        <v>UWM - PTH</v>
      </c>
      <c r="R33" s="429">
        <v>44880</v>
      </c>
      <c r="S33" s="430" t="str">
        <v>Truck</v>
      </c>
      <c r="T33" s="431" t="str">
        <v>PTH - MCM</v>
      </c>
      <c r="U33" s="431" t="str">
        <v>-</v>
      </c>
      <c r="V33" s="432" t="str">
        <v>USAP Vessel</v>
      </c>
      <c r="W33" s="433" t="str">
        <v>USAP Vessel</v>
      </c>
      <c r="X33" s="433" t="str">
        <v>-</v>
      </c>
      <c r="Y33" s="435" t="str">
        <v>-</v>
      </c>
      <c r="Z33" s="426">
        <v>44963</v>
      </c>
      <c r="AA33" s="409" t="str">
        <v>-</v>
      </c>
      <c r="AB33" s="435" t="str">
        <v>LC-130/SPoT</v>
      </c>
      <c r="AC33" s="435">
        <v>45275</v>
      </c>
      <c r="AD33" s="409" t="str">
        <v>Yes</v>
      </c>
      <c r="AE33" s="409" t="str">
        <v>FY23 inter</v>
      </c>
      <c r="AF33" s="409" t="str">
        <v>FY24 intra</v>
      </c>
      <c r="AG33" s="435" t="str">
        <v>D. Gibson</v>
      </c>
      <c r="AH33" s="435">
        <v>44477</v>
      </c>
      <c r="AI33" s="435" t="str">
        <v>I. McEwen</v>
      </c>
      <c r="AJ33" s="435">
        <v>44477</v>
      </c>
      <c r="AK33" s="409" t="str">
        <v>Required onsite in FW YR 2 for integration - recent addition, still in development</v>
      </c>
      <c r="AL33" s="9" t="str">
        <v/>
      </c>
    </row>
    <row r="34" spans="1:38" ht="61.5" customHeight="1">
      <c r="A34" s="25">
        <v>1.2</v>
      </c>
      <c r="B34" s="48" t="str">
        <v>Installation</v>
      </c>
      <c r="C34" s="3" t="str">
        <v>DOM Handling Facility (DHF)</v>
      </c>
      <c r="D34" s="496"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98">
        <v>117</v>
      </c>
      <c r="P34" s="429">
        <v>44763</v>
      </c>
      <c r="Q34" s="429" t="str">
        <v>UWM - PTH</v>
      </c>
      <c r="R34" s="429">
        <v>44880</v>
      </c>
      <c r="S34" s="431" t="str">
        <v>Truck</v>
      </c>
      <c r="T34" s="431" t="str">
        <v>PTH - MCM</v>
      </c>
      <c r="U34" s="431" t="str">
        <v>-</v>
      </c>
      <c r="V34" s="433" t="str">
        <v>USAP Vessel</v>
      </c>
      <c r="W34" s="433" t="str">
        <v>USAP Vessel</v>
      </c>
      <c r="X34" s="433" t="str">
        <v>-</v>
      </c>
      <c r="Y34" s="426" t="str">
        <v>-</v>
      </c>
      <c r="Z34" s="426">
        <v>44963</v>
      </c>
      <c r="AA34" s="409" t="str">
        <v>-</v>
      </c>
      <c r="AB34" s="435" t="str">
        <v>LC-130/SPoT</v>
      </c>
      <c r="AC34" s="435">
        <v>45261</v>
      </c>
      <c r="AD34" s="409" t="str">
        <v>Yes</v>
      </c>
      <c r="AE34" s="409" t="str">
        <v>FY23 inter</v>
      </c>
      <c r="AF34" s="61" t="str">
        <v>FY24 intra</v>
      </c>
      <c r="AG34" s="435" t="str">
        <v>D. Gibson</v>
      </c>
      <c r="AH34" s="204">
        <v>44477</v>
      </c>
      <c r="AI34" s="204" t="str">
        <v>I. McEwen</v>
      </c>
      <c r="AJ34" s="435">
        <v>44477</v>
      </c>
      <c r="AK34" s="61" t="str">
        <v>Sensor Handling Facility construction scheduled to begin mid-December FY24</v>
      </c>
      <c r="AL34" s="9" t="str">
        <v/>
      </c>
    </row>
    <row r="35" spans="1:38" ht="23.25" customHeight="1">
      <c r="A35" s="25">
        <v>1.2</v>
      </c>
      <c r="B35" s="48" t="str">
        <v>Drill</v>
      </c>
      <c r="C35" s="1" t="str">
        <v xml:space="preserve">Spare Combo cable </v>
      </c>
      <c r="D35" s="496"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98">
        <v>31</v>
      </c>
      <c r="P35" s="429">
        <v>44849</v>
      </c>
      <c r="Q35" s="429" t="str">
        <v>UWM - PTH</v>
      </c>
      <c r="R35" s="429">
        <v>44880</v>
      </c>
      <c r="S35" s="431" t="str">
        <v>Truck</v>
      </c>
      <c r="T35" s="431" t="str">
        <v>PTH - MCM</v>
      </c>
      <c r="U35" s="431" t="str">
        <v>-</v>
      </c>
      <c r="V35" s="433" t="str">
        <v>USAP Vessel</v>
      </c>
      <c r="W35" s="433" t="str">
        <v>USAP Vessel</v>
      </c>
      <c r="X35" s="433" t="str">
        <v>-</v>
      </c>
      <c r="Y35" s="426" t="str">
        <v>-</v>
      </c>
      <c r="Z35" s="426">
        <v>45328</v>
      </c>
      <c r="AA35" s="409" t="str">
        <v>-</v>
      </c>
      <c r="AB35" s="435" t="str">
        <v>LC-130/SPoT</v>
      </c>
      <c r="AC35" s="435">
        <v>45334</v>
      </c>
      <c r="AD35" s="409" t="str">
        <v>No</v>
      </c>
      <c r="AE35" s="409" t="str">
        <v>FY24 inter</v>
      </c>
      <c r="AF35" s="409" t="str">
        <v>FY24 intra</v>
      </c>
      <c r="AG35" s="435" t="str">
        <v>D. Gibson</v>
      </c>
      <c r="AH35" s="435">
        <v>44477</v>
      </c>
      <c r="AI35" s="435" t="str">
        <v>I. McEwen</v>
      </c>
      <c r="AJ35" s="435">
        <v>44477</v>
      </c>
      <c r="AK35" s="409" t="str">
        <v>Spare required for drill season</v>
      </c>
      <c r="AL35" s="9" t="str">
        <v/>
      </c>
    </row>
    <row r="36" spans="1:38" ht="26.45" customHeight="1">
      <c r="A36" s="25">
        <v>1.2</v>
      </c>
      <c r="B36" s="49" t="str">
        <v>Drill</v>
      </c>
      <c r="C36" s="3" t="str">
        <v>Spare Drill Cable</v>
      </c>
      <c r="D36" s="496"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98">
        <v>31</v>
      </c>
      <c r="P36" s="429">
        <v>44849</v>
      </c>
      <c r="Q36" s="429" t="str">
        <v>UWM - PTH</v>
      </c>
      <c r="R36" s="429">
        <v>44880</v>
      </c>
      <c r="S36" s="431" t="str">
        <v>Truck</v>
      </c>
      <c r="T36" s="431" t="str">
        <v>PTH - MCM</v>
      </c>
      <c r="U36" s="431" t="str">
        <v>-</v>
      </c>
      <c r="V36" s="433" t="str">
        <v>USAP Vessel</v>
      </c>
      <c r="W36" s="433" t="str">
        <v>USAP Vessel</v>
      </c>
      <c r="X36" s="433" t="str">
        <v>-</v>
      </c>
      <c r="Y36" s="426" t="str">
        <v>-</v>
      </c>
      <c r="Z36" s="426">
        <v>45328</v>
      </c>
      <c r="AA36" s="409" t="str">
        <v>-</v>
      </c>
      <c r="AB36" s="435" t="str">
        <v>LC-130/SPoT</v>
      </c>
      <c r="AC36" s="435">
        <v>45334</v>
      </c>
      <c r="AD36" s="409" t="str">
        <v>No</v>
      </c>
      <c r="AE36" s="409" t="str">
        <v>FY24 inter</v>
      </c>
      <c r="AF36" s="409" t="str">
        <v>FY24 intra</v>
      </c>
      <c r="AG36" s="435" t="str">
        <v>D. Gibson</v>
      </c>
      <c r="AH36" s="435">
        <v>44477</v>
      </c>
      <c r="AI36" s="435" t="str">
        <v>I. McEwen</v>
      </c>
      <c r="AJ36" s="435">
        <v>44477</v>
      </c>
      <c r="AK36" s="409" t="str">
        <v>Spare required for drill season</v>
      </c>
      <c r="AL36" s="9" t="str">
        <v/>
      </c>
    </row>
    <row r="37" spans="1:38" ht="33.950000000000003">
      <c r="A37" s="25">
        <v>1.2</v>
      </c>
      <c r="B37" s="48" t="str">
        <v>Drill</v>
      </c>
      <c r="C37" s="3" t="str">
        <v>Computing/controls components</v>
      </c>
      <c r="D37" s="496"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98">
        <v>31</v>
      </c>
      <c r="P37" s="429">
        <v>45108</v>
      </c>
      <c r="Q37" s="429" t="str">
        <v>UWM - PTH</v>
      </c>
      <c r="R37" s="429">
        <v>45139</v>
      </c>
      <c r="S37" s="430" t="str">
        <v>Truck</v>
      </c>
      <c r="T37" s="431" t="str">
        <v>PTH - CHC</v>
      </c>
      <c r="U37" s="431" t="str">
        <v>-</v>
      </c>
      <c r="V37" s="432" t="str">
        <v>ComSur</v>
      </c>
      <c r="W37" s="433" t="str">
        <v>CHC-MCM</v>
      </c>
      <c r="X37" s="433" t="str">
        <v>-</v>
      </c>
      <c r="Y37" s="435" t="str">
        <v>USAP Air</v>
      </c>
      <c r="Z37" s="426">
        <v>45231</v>
      </c>
      <c r="AA37" s="409" t="str">
        <v>-</v>
      </c>
      <c r="AB37" s="435" t="str">
        <v>LC-130</v>
      </c>
      <c r="AC37" s="435">
        <v>45245</v>
      </c>
      <c r="AD37" s="409" t="str">
        <v>Yes</v>
      </c>
      <c r="AE37" s="409" t="str">
        <v>FY24 inter</v>
      </c>
      <c r="AF37" s="409" t="str">
        <v>FY24 intra</v>
      </c>
      <c r="AG37" s="435" t="str">
        <v>D. Gibson</v>
      </c>
      <c r="AH37" s="435">
        <v>44477</v>
      </c>
      <c r="AI37" s="435" t="str">
        <v>I. McEwen</v>
      </c>
      <c r="AJ37" s="435">
        <v>44477</v>
      </c>
      <c r="AK37" s="409" t="str">
        <v>Required onsite in FW YR 2 to support controls system tasking</v>
      </c>
      <c r="AL37" s="9" t="str">
        <v/>
      </c>
    </row>
    <row r="38" spans="1:38" ht="33.950000000000003">
      <c r="A38" s="25">
        <v>1.2</v>
      </c>
      <c r="B38" s="48" t="str">
        <v>Drill</v>
      </c>
      <c r="C38" s="3" t="str">
        <v>Driller resupply/refit components -  8'  Container</v>
      </c>
      <c r="D38" s="496"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98">
        <v>31</v>
      </c>
      <c r="P38" s="429">
        <v>45108</v>
      </c>
      <c r="Q38" s="429" t="str">
        <v>UWM - PTH</v>
      </c>
      <c r="R38" s="429">
        <v>45139</v>
      </c>
      <c r="S38" s="430" t="str">
        <v>Truck</v>
      </c>
      <c r="T38" s="431" t="str">
        <v>PTH - CHC</v>
      </c>
      <c r="U38" s="431" t="str">
        <v>-</v>
      </c>
      <c r="V38" s="432" t="str">
        <v>ComSur</v>
      </c>
      <c r="W38" s="433" t="str">
        <v>CHC-MCM</v>
      </c>
      <c r="X38" s="433" t="str">
        <v>-</v>
      </c>
      <c r="Y38" s="435" t="str">
        <v>USAP Air</v>
      </c>
      <c r="Z38" s="426">
        <v>45231</v>
      </c>
      <c r="AA38" s="409" t="str">
        <v>-</v>
      </c>
      <c r="AB38" s="435" t="str">
        <v>LC-130</v>
      </c>
      <c r="AC38" s="435">
        <v>45245</v>
      </c>
      <c r="AD38" s="409" t="str">
        <v>Yes</v>
      </c>
      <c r="AE38" s="409" t="str">
        <v>FY24 inter</v>
      </c>
      <c r="AF38" s="409" t="str">
        <v>FY24 intra</v>
      </c>
      <c r="AG38" s="435" t="str">
        <v>D. Gibson</v>
      </c>
      <c r="AH38" s="435">
        <v>44477</v>
      </c>
      <c r="AI38" s="435" t="str">
        <v>I. McEwen</v>
      </c>
      <c r="AJ38" s="435">
        <v>44477</v>
      </c>
      <c r="AK38" s="409" t="str">
        <v>Items identifed in prior field season - 8' container moves with contents overland or by air</v>
      </c>
      <c r="AL38" s="9" t="str">
        <v/>
      </c>
    </row>
    <row r="39" spans="1:38" ht="17.100000000000001">
      <c r="A39" s="25">
        <v>1.2</v>
      </c>
      <c r="B39" s="48" t="str">
        <v>Drill</v>
      </c>
      <c r="C39" s="3" t="str">
        <v>Drill refit components</v>
      </c>
      <c r="D39" s="496"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98">
        <v>31</v>
      </c>
      <c r="P39" s="429">
        <v>45108</v>
      </c>
      <c r="Q39" s="429" t="str">
        <v>UWM - PTH</v>
      </c>
      <c r="R39" s="429">
        <v>45139</v>
      </c>
      <c r="S39" s="431" t="str">
        <v>Truck</v>
      </c>
      <c r="T39" s="431" t="str">
        <v>PTH - CHC</v>
      </c>
      <c r="U39" s="431" t="str">
        <v>-</v>
      </c>
      <c r="V39" s="433" t="str">
        <v>Comsur</v>
      </c>
      <c r="W39" s="433" t="str">
        <v>CHC-MCM</v>
      </c>
      <c r="X39" s="433" t="str">
        <v>-</v>
      </c>
      <c r="Y39" s="435" t="str">
        <v>USAP Air</v>
      </c>
      <c r="Z39" s="426">
        <v>45231</v>
      </c>
      <c r="AA39" s="427" t="str">
        <v>-</v>
      </c>
      <c r="AB39" s="435" t="str">
        <v>LC-130</v>
      </c>
      <c r="AC39" s="435">
        <v>45245</v>
      </c>
      <c r="AD39" s="409" t="str">
        <v>Yes</v>
      </c>
      <c r="AE39" s="409" t="str">
        <v>FY24 inter</v>
      </c>
      <c r="AF39" s="409" t="str">
        <v>FY24 intra</v>
      </c>
      <c r="AG39" s="435" t="str">
        <v>D. Gibson</v>
      </c>
      <c r="AH39" s="435">
        <v>44477</v>
      </c>
      <c r="AI39" s="435" t="str">
        <v>I. McEwen</v>
      </c>
      <c r="AJ39" s="435">
        <v>44477</v>
      </c>
      <c r="AK39" s="409" t="str">
        <v>Items identifed in prior field season</v>
      </c>
      <c r="AL39" s="9" t="str">
        <v/>
      </c>
    </row>
    <row r="40" spans="1:38" ht="23.25" hidden="1" customHeight="1">
      <c r="A40" s="25">
        <v>1.2</v>
      </c>
      <c r="B40" s="48" t="str">
        <v>Drill</v>
      </c>
      <c r="C40" s="18" t="str">
        <v>Drill Heads DNF - X</v>
      </c>
      <c r="D40" s="496"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35">
        <v>440</v>
      </c>
      <c r="P40" s="428">
        <v>44440</v>
      </c>
      <c r="Q40" s="429" t="str">
        <v>UWM - PTH</v>
      </c>
      <c r="R40" s="428">
        <v>44880</v>
      </c>
      <c r="S40" s="431" t="str">
        <v>Truck</v>
      </c>
      <c r="T40" s="431" t="str">
        <v>PTH - MCM</v>
      </c>
      <c r="U40" s="431" t="str">
        <v>-</v>
      </c>
      <c r="V40" s="433" t="str">
        <v>USAP Vessel</v>
      </c>
      <c r="W40" s="433" t="str">
        <v>USAP Vessel</v>
      </c>
      <c r="X40" s="433" t="str">
        <v>-</v>
      </c>
      <c r="Y40" s="426" t="str">
        <v>-</v>
      </c>
      <c r="Z40" s="434">
        <v>44963</v>
      </c>
      <c r="AA40" s="427" t="str">
        <v>-</v>
      </c>
      <c r="AB40" s="435" t="str">
        <v>LC-130</v>
      </c>
      <c r="AC40" s="409">
        <v>44969</v>
      </c>
      <c r="AD40" s="409" t="str">
        <v>Yes</v>
      </c>
      <c r="AE40" s="409" t="str">
        <v>FY23 inter</v>
      </c>
      <c r="AF40" s="409" t="str">
        <v>FY23 intra</v>
      </c>
      <c r="AG40" s="409" t="str">
        <v>D. Gibson</v>
      </c>
      <c r="AH40" s="409">
        <v>44477</v>
      </c>
      <c r="AI40" s="409" t="str">
        <v>I. McEwen</v>
      </c>
      <c r="AJ40" s="409">
        <v>44477</v>
      </c>
      <c r="AK40" s="409" t="str">
        <v>One drill head shipped one year early for ull system wet-test</v>
      </c>
      <c r="AL40" s="9" t="str">
        <v/>
      </c>
    </row>
    <row r="41" spans="1:38" ht="23.25" customHeight="1">
      <c r="A41" s="25">
        <v>1.2</v>
      </c>
      <c r="B41" s="48" t="str">
        <v>Drill</v>
      </c>
      <c r="C41" s="18" t="str">
        <v>Drill Heads DNF - Y</v>
      </c>
      <c r="D41" s="496"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98">
        <v>805</v>
      </c>
      <c r="P41" s="429">
        <v>44440</v>
      </c>
      <c r="Q41" s="429" t="str">
        <v>UWM - PTH</v>
      </c>
      <c r="R41" s="429">
        <v>45245</v>
      </c>
      <c r="S41" s="431" t="str">
        <v>Truck</v>
      </c>
      <c r="T41" s="431" t="str">
        <v>PTH - MCM</v>
      </c>
      <c r="U41" s="431" t="str">
        <v>-</v>
      </c>
      <c r="V41" s="433" t="str">
        <v>USAP Vessel</v>
      </c>
      <c r="W41" s="433" t="str">
        <v>USAP Vessel</v>
      </c>
      <c r="X41" s="433" t="str">
        <v>-</v>
      </c>
      <c r="Y41" s="426" t="str">
        <v>-</v>
      </c>
      <c r="Z41" s="426">
        <v>45328</v>
      </c>
      <c r="AA41" s="427" t="str">
        <v>-</v>
      </c>
      <c r="AB41" s="435" t="str">
        <v>LC-130</v>
      </c>
      <c r="AC41" s="435">
        <v>45334</v>
      </c>
      <c r="AD41" s="409" t="str">
        <v>Yes</v>
      </c>
      <c r="AE41" s="409" t="str">
        <v>FY24 inter</v>
      </c>
      <c r="AF41" s="409" t="str">
        <v>FY24 intra</v>
      </c>
      <c r="AG41" s="435" t="str">
        <v>D. Gibson</v>
      </c>
      <c r="AH41" s="435">
        <v>44477</v>
      </c>
      <c r="AI41" s="435" t="str">
        <v>I. McEwen</v>
      </c>
      <c r="AJ41" s="435">
        <v>44477</v>
      </c>
      <c r="AK41" s="409" t="str">
        <v/>
      </c>
      <c r="AL41" s="9" t="str">
        <v/>
      </c>
    </row>
    <row r="42" spans="1:38" ht="22.5" customHeight="1">
      <c r="A42" s="25">
        <v>1.2</v>
      </c>
      <c r="B42" s="48" t="str">
        <v>Drill</v>
      </c>
      <c r="C42" s="18" t="str">
        <v>Drill Heads DNF - R</v>
      </c>
      <c r="D42" s="496"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98">
        <v>805</v>
      </c>
      <c r="P42" s="429">
        <v>44440</v>
      </c>
      <c r="Q42" s="429" t="str">
        <v>UWM - PTH</v>
      </c>
      <c r="R42" s="429">
        <v>45245</v>
      </c>
      <c r="S42" s="431" t="str">
        <v>Truck</v>
      </c>
      <c r="T42" s="431" t="str">
        <v>PTH - MCM</v>
      </c>
      <c r="U42" s="431" t="str">
        <v>-</v>
      </c>
      <c r="V42" s="433" t="str">
        <v>USAP Vessel</v>
      </c>
      <c r="W42" s="433" t="str">
        <v>USAP Vessel</v>
      </c>
      <c r="X42" s="433" t="str">
        <v>-</v>
      </c>
      <c r="Y42" s="426" t="str">
        <v>-</v>
      </c>
      <c r="Z42" s="426">
        <v>45328</v>
      </c>
      <c r="AA42" s="427" t="str">
        <v>-</v>
      </c>
      <c r="AB42" s="435" t="str">
        <v>LC-130</v>
      </c>
      <c r="AC42" s="435">
        <v>45334</v>
      </c>
      <c r="AD42" s="409" t="str">
        <v>Yes</v>
      </c>
      <c r="AE42" s="409" t="str">
        <v>FY24 inter</v>
      </c>
      <c r="AF42" s="409" t="str">
        <v>FY24 intra</v>
      </c>
      <c r="AG42" s="435" t="str">
        <v>D. Gibson</v>
      </c>
      <c r="AH42" s="435">
        <v>44477</v>
      </c>
      <c r="AI42" s="435" t="str">
        <v>I. McEwen</v>
      </c>
      <c r="AJ42" s="435">
        <v>44477</v>
      </c>
      <c r="AK42" s="409" t="str">
        <v/>
      </c>
      <c r="AL42" s="9" t="str">
        <v/>
      </c>
    </row>
    <row r="43" spans="1:38" ht="34.5" hidden="1" customHeight="1">
      <c r="A43" s="25">
        <v>1.2</v>
      </c>
      <c r="B43" s="48" t="str">
        <v>Drill</v>
      </c>
      <c r="C43" s="3" t="str">
        <v>Computing/controls components</v>
      </c>
      <c r="D43" s="3" t="str">
        <v>Computing and controls equipment (Sensor, motor drives and other sensitive electronics) - Do Not Freeze</v>
      </c>
      <c r="E43" s="4">
        <v>96</v>
      </c>
      <c r="F43" s="4">
        <v>48</v>
      </c>
      <c r="G43" s="4">
        <v>48</v>
      </c>
      <c r="H43" s="23">
        <v>1</v>
      </c>
      <c r="I43" s="22">
        <v>128</v>
      </c>
      <c r="J43" s="22">
        <v>3000</v>
      </c>
      <c r="K43" s="4">
        <v>3000</v>
      </c>
      <c r="L43" s="23" t="str">
        <v>estimated</v>
      </c>
      <c r="M43" s="6" t="str">
        <v>DNF</v>
      </c>
      <c r="N43" s="427" t="str">
        <v xml:space="preserve"> U. Wisc. Madison</v>
      </c>
      <c r="O43" s="435">
        <v>31</v>
      </c>
      <c r="P43" s="443">
        <v>45474</v>
      </c>
      <c r="Q43" s="429" t="str">
        <v>UWM - PTH</v>
      </c>
      <c r="R43" s="428">
        <v>45505</v>
      </c>
      <c r="S43" s="430" t="str">
        <v>Truck</v>
      </c>
      <c r="T43" s="431" t="str">
        <v>PTH - CHC</v>
      </c>
      <c r="U43" s="431" t="str">
        <v>-</v>
      </c>
      <c r="V43" s="432" t="str">
        <v>ComSur</v>
      </c>
      <c r="W43" s="433" t="str">
        <v>CHC-MCM</v>
      </c>
      <c r="X43" s="433" t="str">
        <v>-</v>
      </c>
      <c r="Y43" s="435" t="str">
        <v>USAP Air</v>
      </c>
      <c r="Z43" s="434">
        <v>45597</v>
      </c>
      <c r="AA43" s="409" t="str">
        <v>-</v>
      </c>
      <c r="AB43" s="435" t="str">
        <v>LC-130</v>
      </c>
      <c r="AC43" s="409">
        <v>45611</v>
      </c>
      <c r="AD43" s="409" t="str">
        <v>Yes</v>
      </c>
      <c r="AE43" s="409" t="str">
        <v>FY25 inter</v>
      </c>
      <c r="AF43" s="409" t="str">
        <v>FY25 intra</v>
      </c>
      <c r="AG43" s="409" t="str">
        <v>D. Gibson</v>
      </c>
      <c r="AH43" s="409">
        <v>44477</v>
      </c>
      <c r="AI43" s="409" t="str">
        <v>I. McEwen</v>
      </c>
      <c r="AJ43" s="409">
        <v>44477</v>
      </c>
      <c r="AK43" s="409" t="str">
        <v/>
      </c>
      <c r="AL43" s="9" t="str">
        <v/>
      </c>
    </row>
    <row r="44" spans="1:38" ht="21.75" customHeight="1">
      <c r="A44" s="67">
        <v>1.2</v>
      </c>
      <c r="B44" s="68" t="str">
        <v>Installation</v>
      </c>
      <c r="C44" s="19" t="str">
        <v xml:space="preserve">Installation Hardware  87-93 </v>
      </c>
      <c r="D44" s="19"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98">
        <v>123</v>
      </c>
      <c r="P44" s="429">
        <v>45122</v>
      </c>
      <c r="Q44" s="429" t="str">
        <v>UWM - PTH</v>
      </c>
      <c r="R44" s="429">
        <v>45245</v>
      </c>
      <c r="S44" s="430" t="str">
        <v>Truck</v>
      </c>
      <c r="T44" s="431" t="str">
        <v>PTH - MCM</v>
      </c>
      <c r="U44" s="431" t="str">
        <v>-</v>
      </c>
      <c r="V44" s="433" t="str">
        <v>USAP Vessel</v>
      </c>
      <c r="W44" s="433" t="str">
        <v>USAP Vessel</v>
      </c>
      <c r="X44" s="433" t="str">
        <v>-</v>
      </c>
      <c r="Y44" s="426" t="str">
        <v>-</v>
      </c>
      <c r="Z44" s="426">
        <v>45328</v>
      </c>
      <c r="AA44" s="427" t="str">
        <v>-</v>
      </c>
      <c r="AB44" s="435" t="str">
        <v>LC-130</v>
      </c>
      <c r="AC44" s="435">
        <v>45337</v>
      </c>
      <c r="AD44" s="409" t="str">
        <v>Yes</v>
      </c>
      <c r="AE44" s="409" t="str">
        <v>FY24 inter</v>
      </c>
      <c r="AF44" s="409" t="str">
        <v>FY24 intra</v>
      </c>
      <c r="AG44" s="435" t="str">
        <v>D. Tosi</v>
      </c>
      <c r="AH44" s="435">
        <v>44461</v>
      </c>
      <c r="AI44" s="435" t="str">
        <v>I. McEwen</v>
      </c>
      <c r="AJ44" s="435">
        <v>44461</v>
      </c>
      <c r="AK44" s="409" t="str">
        <v/>
      </c>
      <c r="AL44" s="9" t="str">
        <v/>
      </c>
    </row>
    <row r="45" spans="1:38" ht="32.450000000000003"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98">
        <v>123</v>
      </c>
      <c r="P45" s="429">
        <v>45122</v>
      </c>
      <c r="Q45" s="429" t="str">
        <v>UWM - PTH</v>
      </c>
      <c r="R45" s="429">
        <v>45245</v>
      </c>
      <c r="S45" s="430" t="str">
        <v>Truck</v>
      </c>
      <c r="T45" s="431" t="str">
        <v>PTH - MCM</v>
      </c>
      <c r="U45" s="431" t="str">
        <v>-</v>
      </c>
      <c r="V45" s="433" t="str">
        <v>USAP Vessel</v>
      </c>
      <c r="W45" s="433" t="str">
        <v>USAP Vessel</v>
      </c>
      <c r="X45" s="433" t="str">
        <v>-</v>
      </c>
      <c r="Y45" s="426" t="str">
        <v>-</v>
      </c>
      <c r="Z45" s="426">
        <v>45328</v>
      </c>
      <c r="AA45" s="427" t="str">
        <v>-</v>
      </c>
      <c r="AB45" s="435" t="str">
        <v>LC-130</v>
      </c>
      <c r="AC45" s="435">
        <v>45337</v>
      </c>
      <c r="AD45" s="409" t="str">
        <v>Yes</v>
      </c>
      <c r="AE45" s="409" t="str">
        <v>FY24 inter</v>
      </c>
      <c r="AF45" s="409" t="str">
        <v>FY24 intra</v>
      </c>
      <c r="AG45" s="435" t="str">
        <v>D. Tosi</v>
      </c>
      <c r="AH45" s="435">
        <v>44461</v>
      </c>
      <c r="AI45" s="435" t="str">
        <v>I. McEwen</v>
      </c>
      <c r="AJ45" s="435">
        <v>44461</v>
      </c>
      <c r="AK45" s="409" t="str">
        <v/>
      </c>
      <c r="AL45" s="9" t="str">
        <v/>
      </c>
    </row>
    <row r="46" spans="1:38" ht="33.950000000000003">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98">
        <v>244</v>
      </c>
      <c r="P46" s="429">
        <v>44895</v>
      </c>
      <c r="Q46" s="429" t="str">
        <v>UWM - PTH</v>
      </c>
      <c r="R46" s="429">
        <v>45139</v>
      </c>
      <c r="S46" s="430" t="str">
        <v>Truck</v>
      </c>
      <c r="T46" s="431" t="str">
        <v>PTH - CHC</v>
      </c>
      <c r="U46" s="431" t="str">
        <v>-</v>
      </c>
      <c r="V46" s="433" t="str">
        <v>ComSur</v>
      </c>
      <c r="W46" s="433" t="str">
        <v>CHC-MCM</v>
      </c>
      <c r="X46" s="433" t="str">
        <v>-</v>
      </c>
      <c r="Y46" s="435" t="str">
        <v>USAP Air</v>
      </c>
      <c r="Z46" s="426">
        <v>45231</v>
      </c>
      <c r="AA46" s="409" t="str">
        <v>-</v>
      </c>
      <c r="AB46" s="435" t="str">
        <v>LC-130</v>
      </c>
      <c r="AC46" s="435">
        <v>45275</v>
      </c>
      <c r="AD46" s="409" t="str">
        <v>Yes</v>
      </c>
      <c r="AE46" s="409" t="str">
        <v>FY24 inter</v>
      </c>
      <c r="AF46" s="409" t="str">
        <v>FY24 intra</v>
      </c>
      <c r="AG46" s="435" t="str">
        <v>D. Williams</v>
      </c>
      <c r="AH46" s="435">
        <v>44482</v>
      </c>
      <c r="AI46" s="435" t="str">
        <v>D. Tosi</v>
      </c>
      <c r="AJ46" s="435">
        <v>44482</v>
      </c>
      <c r="AK46" s="409" t="str">
        <v/>
      </c>
      <c r="AL46" s="9" t="str">
        <v/>
      </c>
    </row>
    <row r="47" spans="1:38" ht="68.099999999999994">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98">
        <v>212</v>
      </c>
      <c r="P47" s="429">
        <v>44927</v>
      </c>
      <c r="Q47" s="429" t="str">
        <v>UWM - PTH</v>
      </c>
      <c r="R47" s="429">
        <v>45139</v>
      </c>
      <c r="S47" s="430" t="str">
        <v>Truck</v>
      </c>
      <c r="T47" s="431" t="str">
        <v>PTH - CHC</v>
      </c>
      <c r="U47" s="431" t="str">
        <v>-</v>
      </c>
      <c r="V47" s="433" t="str">
        <v>ComSur</v>
      </c>
      <c r="W47" s="433" t="str">
        <v>CHC-MCM</v>
      </c>
      <c r="X47" s="433" t="str">
        <v>-</v>
      </c>
      <c r="Y47" s="435" t="str">
        <v>USAP Air</v>
      </c>
      <c r="Z47" s="426">
        <v>45231</v>
      </c>
      <c r="AA47" s="427" t="str">
        <v>-</v>
      </c>
      <c r="AB47" s="435" t="str">
        <v>LC-130</v>
      </c>
      <c r="AC47" s="435">
        <v>45275</v>
      </c>
      <c r="AD47" s="409" t="str">
        <v>Yes</v>
      </c>
      <c r="AE47" s="409" t="str">
        <v>FY24 inter</v>
      </c>
      <c r="AF47" s="409" t="str">
        <v>FY24 intra</v>
      </c>
      <c r="AG47" s="435" t="str">
        <v>S. Boeser</v>
      </c>
      <c r="AH47" s="435">
        <v>44482</v>
      </c>
      <c r="AI47" s="435" t="str">
        <v>D. Tosi</v>
      </c>
      <c r="AJ47" s="435">
        <v>44482</v>
      </c>
      <c r="AK47" s="409" t="str">
        <v>4+1 Radio Pulser, weight  50 kg. 1+1 Radio receiver, assume mDOM weight, 3+1 FOM (assume mDOM weight) + 2ftx2ftx4ft FOM box (50 lbs).  Special Devices from UW. FTS, seismometer missing from estimate.  250 lbs crate estimate</v>
      </c>
      <c r="AL47" s="9" t="str">
        <v/>
      </c>
    </row>
    <row r="48" spans="1:38" ht="30"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98">
        <v>61</v>
      </c>
      <c r="P48" s="429">
        <v>45078</v>
      </c>
      <c r="Q48" s="429" t="str">
        <v>UWM - PTH</v>
      </c>
      <c r="R48" s="429">
        <v>45139</v>
      </c>
      <c r="S48" s="430" t="str">
        <v>Truck</v>
      </c>
      <c r="T48" s="431" t="str">
        <v>PTH - CHC</v>
      </c>
      <c r="U48" s="431" t="str">
        <v>-</v>
      </c>
      <c r="V48" s="433" t="str">
        <v>ComSur</v>
      </c>
      <c r="W48" s="433" t="str">
        <v>CHC-MCM</v>
      </c>
      <c r="X48" s="433" t="str">
        <v>-</v>
      </c>
      <c r="Y48" s="435" t="str">
        <v>USAP Air</v>
      </c>
      <c r="Z48" s="426">
        <v>45231</v>
      </c>
      <c r="AA48" s="427" t="str">
        <v>-</v>
      </c>
      <c r="AB48" s="435" t="str">
        <v>LC-130</v>
      </c>
      <c r="AC48" s="435">
        <v>45261</v>
      </c>
      <c r="AD48" s="409" t="str">
        <v>Yes</v>
      </c>
      <c r="AE48" s="409" t="str">
        <v>FY24 inter</v>
      </c>
      <c r="AF48" s="409" t="str">
        <v>FY24 intra</v>
      </c>
      <c r="AG48" s="435" t="str">
        <v>T. Karg</v>
      </c>
      <c r="AH48" s="435">
        <v>44477</v>
      </c>
      <c r="AI48" s="435" t="str">
        <v>D. Tosi</v>
      </c>
      <c r="AJ48" s="435">
        <v>44477</v>
      </c>
      <c r="AK48" s="409" t="str">
        <v/>
      </c>
      <c r="AL48" s="9" t="str">
        <v/>
      </c>
    </row>
    <row r="49" spans="1:40" ht="32.450000000000003" hidden="1" customHeight="1">
      <c r="A49" s="25">
        <v>1.3</v>
      </c>
      <c r="B49" s="48" t="str">
        <v>Installation</v>
      </c>
      <c r="C49" s="71" t="str">
        <v>Special Devices 89-93</v>
      </c>
      <c r="D49" s="3" t="str">
        <v>Special devices for 5 remaining strings from UW (4+1 FOM,2+1 Radio Receivers, 11+1 LOM + seismometer*) - Do Not Deep Freeze</v>
      </c>
      <c r="E49" s="23">
        <v>81</v>
      </c>
      <c r="F49" s="23">
        <v>56</v>
      </c>
      <c r="G49" s="23">
        <v>51</v>
      </c>
      <c r="H49" s="23">
        <v>1</v>
      </c>
      <c r="I49" s="22">
        <v>133.875</v>
      </c>
      <c r="J49" s="22">
        <v>1797</v>
      </c>
      <c r="K49" s="4">
        <v>1797</v>
      </c>
      <c r="L49" s="445" t="str">
        <v>estimated</v>
      </c>
      <c r="M49" s="6" t="str">
        <v>DNDF [-40C]</v>
      </c>
      <c r="N49" s="10" t="str">
        <v>UWM/Kansas</v>
      </c>
      <c r="O49" s="435">
        <v>213</v>
      </c>
      <c r="P49" s="443">
        <v>45292</v>
      </c>
      <c r="Q49" s="429" t="str">
        <v>UWM - PTH</v>
      </c>
      <c r="R49" s="428">
        <v>45505</v>
      </c>
      <c r="S49" s="430" t="str">
        <v>Truck</v>
      </c>
      <c r="T49" s="431" t="str">
        <v>PTH - CHC</v>
      </c>
      <c r="U49" s="431" t="str">
        <v>-</v>
      </c>
      <c r="V49" s="433" t="str">
        <v>ComAir</v>
      </c>
      <c r="W49" s="433" t="str">
        <v>CHC-MCM</v>
      </c>
      <c r="X49" s="433" t="str">
        <v>-</v>
      </c>
      <c r="Y49" s="435" t="str">
        <v>USAP Air</v>
      </c>
      <c r="Z49" s="434">
        <v>45597</v>
      </c>
      <c r="AA49" s="427" t="str">
        <v>-</v>
      </c>
      <c r="AB49" s="435" t="str">
        <v>LC-130</v>
      </c>
      <c r="AC49" s="409">
        <v>45621</v>
      </c>
      <c r="AD49" s="409" t="str">
        <v>Yes</v>
      </c>
      <c r="AE49" s="409" t="str">
        <v>FY25 inter</v>
      </c>
      <c r="AF49" s="409" t="str">
        <v>FY25 intra</v>
      </c>
      <c r="AG49" s="409" t="str">
        <v>S. Boeser</v>
      </c>
      <c r="AH49" s="409">
        <v>44482</v>
      </c>
      <c r="AI49" s="409" t="str">
        <v>D. Tosi</v>
      </c>
      <c r="AJ49" s="409">
        <v>44482</v>
      </c>
      <c r="AK49" s="409" t="str">
        <v xml:space="preserve">21 Special Devices from USA (11+ 1 LOM, 4+1 FOM, 2+1 RR, FTS ? , seismometer), assume mDOM weight. 200 lbs wood crate. FTS not included. (*) Seismometer not yet in CMD </v>
      </c>
      <c r="AL49" s="9" t="str">
        <v/>
      </c>
    </row>
    <row r="50" spans="1:40" ht="32.450000000000003" hidden="1" customHeight="1">
      <c r="A50" s="25">
        <v>1.5</v>
      </c>
      <c r="B50" s="48" t="str">
        <v>Installation</v>
      </c>
      <c r="C50" s="3" t="str">
        <v>Calibration/Special Devices  89-93</v>
      </c>
      <c r="D50" s="3" t="str">
        <v>8+1 PencilBeams, 12+1 pDOMs from UW - Do Not Deep Freeze</v>
      </c>
      <c r="E50" s="23">
        <v>75</v>
      </c>
      <c r="F50" s="23">
        <v>56.5</v>
      </c>
      <c r="G50" s="445">
        <v>41</v>
      </c>
      <c r="H50" s="23">
        <v>1</v>
      </c>
      <c r="I50" s="22">
        <v>100.54253472222223</v>
      </c>
      <c r="J50" s="22">
        <v>1602</v>
      </c>
      <c r="K50" s="4">
        <v>1602</v>
      </c>
      <c r="L50" s="23" t="str">
        <v>preliminary</v>
      </c>
      <c r="M50" s="6" t="str">
        <v>DNDF [-40C]</v>
      </c>
      <c r="N50" s="427" t="str">
        <v xml:space="preserve"> U. Wisc. Madison</v>
      </c>
      <c r="O50" s="435">
        <v>352</v>
      </c>
      <c r="P50" s="428">
        <v>45153</v>
      </c>
      <c r="Q50" s="429" t="str">
        <v>UWM - PTH</v>
      </c>
      <c r="R50" s="428">
        <v>45505</v>
      </c>
      <c r="S50" s="430" t="str">
        <v>Truck</v>
      </c>
      <c r="T50" s="431" t="str">
        <v>PTH - CHC</v>
      </c>
      <c r="U50" s="431" t="str">
        <v>-</v>
      </c>
      <c r="V50" s="433" t="str">
        <v>ComSur</v>
      </c>
      <c r="W50" s="433" t="str">
        <v>CHC-MCM</v>
      </c>
      <c r="X50" s="433" t="str">
        <v>-</v>
      </c>
      <c r="Y50" s="435" t="str">
        <v>USAP Air</v>
      </c>
      <c r="Z50" s="434">
        <v>45597</v>
      </c>
      <c r="AA50" s="427" t="str">
        <v>-</v>
      </c>
      <c r="AB50" s="435" t="str">
        <v>LC-130</v>
      </c>
      <c r="AC50" s="409">
        <v>45621</v>
      </c>
      <c r="AD50" s="409" t="str">
        <v>Yes</v>
      </c>
      <c r="AE50" s="409" t="str">
        <v>FY25 inter</v>
      </c>
      <c r="AF50" s="409" t="str">
        <v>FY25 intra</v>
      </c>
      <c r="AG50" s="409" t="str">
        <v>D. Williams</v>
      </c>
      <c r="AH50" s="409">
        <v>44482</v>
      </c>
      <c r="AI50" s="409" t="str">
        <v>D. Tosi</v>
      </c>
      <c r="AJ50" s="409">
        <v>44474</v>
      </c>
      <c r="AK50" s="409" t="str">
        <v xml:space="preserve">8+1 PencilBeams for strings 89-93, 12+1 pDOMs, assume mDOM weight. 244 lbs crate. </v>
      </c>
      <c r="AL50" s="9" t="str">
        <v/>
      </c>
    </row>
    <row r="51" spans="1:40" ht="27" hidden="1" customHeight="1">
      <c r="A51" s="37">
        <v>1.2</v>
      </c>
      <c r="B51" s="70" t="str">
        <v>Installation</v>
      </c>
      <c r="C51" s="1" t="str">
        <v>Misc. Science Equipment - FY25</v>
      </c>
      <c r="D51" s="1" t="str">
        <v>Scientific and test equipment  (Handheld test devices, Paros, et al.) - Do Not Freeze</v>
      </c>
      <c r="E51" s="38">
        <v>48</v>
      </c>
      <c r="F51" s="38">
        <v>48</v>
      </c>
      <c r="G51" s="38">
        <v>48</v>
      </c>
      <c r="H51" s="23">
        <v>1</v>
      </c>
      <c r="I51" s="22">
        <v>64</v>
      </c>
      <c r="J51" s="22">
        <v>1500</v>
      </c>
      <c r="K51" s="4">
        <v>1500</v>
      </c>
      <c r="L51" s="449" t="str">
        <v>estimated</v>
      </c>
      <c r="M51" s="439" t="str">
        <v>DNF</v>
      </c>
      <c r="N51" s="427" t="str">
        <v xml:space="preserve"> U. Wisc. Madison</v>
      </c>
      <c r="O51" s="435">
        <v>61</v>
      </c>
      <c r="P51" s="428">
        <v>45444</v>
      </c>
      <c r="Q51" s="429" t="str">
        <v>UWM - PTH</v>
      </c>
      <c r="R51" s="428">
        <v>45505</v>
      </c>
      <c r="S51" s="430" t="str">
        <v>Truck</v>
      </c>
      <c r="T51" s="431" t="str">
        <v>PTH - CHC</v>
      </c>
      <c r="U51" s="431" t="str">
        <v>-</v>
      </c>
      <c r="V51" s="433" t="str">
        <v>ComSur</v>
      </c>
      <c r="W51" s="433" t="str">
        <v>CHC-MCM</v>
      </c>
      <c r="X51" s="433" t="str">
        <v>-</v>
      </c>
      <c r="Y51" s="435" t="str">
        <v>USAP Air</v>
      </c>
      <c r="Z51" s="434">
        <v>45597</v>
      </c>
      <c r="AA51" s="427" t="str">
        <v>-</v>
      </c>
      <c r="AB51" s="435" t="str">
        <v>LC-130</v>
      </c>
      <c r="AC51" s="409">
        <v>45627</v>
      </c>
      <c r="AD51" s="409" t="str">
        <v>Yes</v>
      </c>
      <c r="AE51" s="409" t="str">
        <v>FY25 inter</v>
      </c>
      <c r="AF51" s="409" t="str">
        <v>FY25 intra</v>
      </c>
      <c r="AG51" s="409" t="str">
        <v>D. Tosi</v>
      </c>
      <c r="AH51" s="409">
        <v>44477</v>
      </c>
      <c r="AI51" s="409" t="str">
        <v>D. Tosi</v>
      </c>
      <c r="AJ51" s="409">
        <v>44477</v>
      </c>
      <c r="AK51" s="409" t="str">
        <v/>
      </c>
      <c r="AL51" s="9" t="str">
        <v/>
      </c>
    </row>
    <row r="52" spans="1:40" ht="33.950000000000003" hidden="1">
      <c r="A52" s="25">
        <v>1.5</v>
      </c>
      <c r="B52" s="48" t="str">
        <v>Installation</v>
      </c>
      <c r="C52" s="3" t="str">
        <v>Dust logging device</v>
      </c>
      <c r="D52" s="3" t="str">
        <v>Blue Logging device - sensitive equipment - Do Not Freeze</v>
      </c>
      <c r="E52" s="23">
        <v>48</v>
      </c>
      <c r="F52" s="23">
        <v>17</v>
      </c>
      <c r="G52" s="23">
        <v>17</v>
      </c>
      <c r="H52" s="23">
        <v>1</v>
      </c>
      <c r="I52" s="22">
        <v>8.0277777777777786</v>
      </c>
      <c r="J52" s="22">
        <v>60</v>
      </c>
      <c r="K52" s="4">
        <v>60</v>
      </c>
      <c r="L52" s="445" t="str">
        <v>actual</v>
      </c>
      <c r="M52" s="436" t="str">
        <v>DNF</v>
      </c>
      <c r="N52" s="427" t="str">
        <v xml:space="preserve"> U. Wisc. Madison</v>
      </c>
      <c r="O52" s="435">
        <v>61</v>
      </c>
      <c r="P52" s="443">
        <v>45444</v>
      </c>
      <c r="Q52" s="429" t="str">
        <v>UWM - PTH</v>
      </c>
      <c r="R52" s="428">
        <v>45505</v>
      </c>
      <c r="S52" s="430" t="str">
        <v>Truck</v>
      </c>
      <c r="T52" s="431" t="str">
        <v>PTH - CHC</v>
      </c>
      <c r="U52" s="431" t="str">
        <v>-</v>
      </c>
      <c r="V52" s="433" t="str">
        <v>ComAir</v>
      </c>
      <c r="W52" s="433" t="str">
        <v>CHC-MCM</v>
      </c>
      <c r="X52" s="433" t="str">
        <v>-</v>
      </c>
      <c r="Y52" s="435" t="str">
        <v>USAP Air</v>
      </c>
      <c r="Z52" s="434">
        <v>45597</v>
      </c>
      <c r="AA52" s="427" t="str">
        <v>-</v>
      </c>
      <c r="AB52" s="435" t="str">
        <v>LC-130</v>
      </c>
      <c r="AC52" s="409">
        <v>45621</v>
      </c>
      <c r="AD52" s="409" t="str">
        <v>Yes</v>
      </c>
      <c r="AE52" s="409" t="str">
        <v>FY25 inter</v>
      </c>
      <c r="AF52" s="409" t="str">
        <v>FY25 intra</v>
      </c>
      <c r="AG52" s="409" t="str">
        <v>D. Williams</v>
      </c>
      <c r="AH52" s="409">
        <v>44483</v>
      </c>
      <c r="AI52" s="409" t="str">
        <v>D. Tosi</v>
      </c>
      <c r="AJ52" s="409">
        <v>44457</v>
      </c>
      <c r="AK52" s="409" t="str">
        <v>Used weights from last deployment season shipment data (could be combined)</v>
      </c>
      <c r="AL52" s="9" t="str">
        <v/>
      </c>
    </row>
    <row r="53" spans="1:40" ht="33.950000000000003" hidden="1">
      <c r="A53" s="25">
        <v>1.5</v>
      </c>
      <c r="B53" s="48" t="str">
        <v>Installation</v>
      </c>
      <c r="C53" s="3" t="str">
        <v>Dust logging device</v>
      </c>
      <c r="D53" s="3" t="str">
        <v>Green Logging device - sensitive equipment - Do Not Freeze</v>
      </c>
      <c r="E53" s="23">
        <v>48</v>
      </c>
      <c r="F53" s="23">
        <v>17</v>
      </c>
      <c r="G53" s="23">
        <v>17</v>
      </c>
      <c r="H53" s="23">
        <v>1</v>
      </c>
      <c r="I53" s="22">
        <v>8.0277777777777786</v>
      </c>
      <c r="J53" s="22">
        <v>60</v>
      </c>
      <c r="K53" s="4">
        <v>60</v>
      </c>
      <c r="L53" s="445" t="str">
        <v>actual</v>
      </c>
      <c r="M53" s="436" t="str">
        <v>DNF</v>
      </c>
      <c r="N53" s="427" t="str">
        <v xml:space="preserve"> U. Wisc. Madison</v>
      </c>
      <c r="O53" s="435">
        <v>61</v>
      </c>
      <c r="P53" s="443">
        <v>45444</v>
      </c>
      <c r="Q53" s="429" t="str">
        <v>UWM - PTH</v>
      </c>
      <c r="R53" s="428">
        <v>45505</v>
      </c>
      <c r="S53" s="430" t="str">
        <v>Truck</v>
      </c>
      <c r="T53" s="431" t="str">
        <v>PTH - CHC</v>
      </c>
      <c r="U53" s="431" t="str">
        <v>-</v>
      </c>
      <c r="V53" s="433" t="str">
        <v>ComAir</v>
      </c>
      <c r="W53" s="433" t="str">
        <v>CHC-MCM</v>
      </c>
      <c r="X53" s="433" t="str">
        <v>-</v>
      </c>
      <c r="Y53" s="435" t="str">
        <v>USAP Air</v>
      </c>
      <c r="Z53" s="434">
        <v>45597</v>
      </c>
      <c r="AA53" s="427" t="str">
        <v>-</v>
      </c>
      <c r="AB53" s="435" t="str">
        <v>LC-130</v>
      </c>
      <c r="AC53" s="409">
        <v>45621</v>
      </c>
      <c r="AD53" s="409" t="str">
        <v>Yes</v>
      </c>
      <c r="AE53" s="409" t="str">
        <v>FY25 inter</v>
      </c>
      <c r="AF53" s="409" t="str">
        <v>FY25 intra</v>
      </c>
      <c r="AG53" s="409" t="str">
        <v>D. Williams</v>
      </c>
      <c r="AH53" s="409">
        <v>44483</v>
      </c>
      <c r="AI53" s="409" t="str">
        <v>D. Tosi</v>
      </c>
      <c r="AJ53" s="409">
        <v>44458</v>
      </c>
      <c r="AK53" s="409" t="str">
        <v>Used weights from last deployment season shipment data (could be combined)</v>
      </c>
      <c r="AL53" s="9" t="str">
        <v/>
      </c>
    </row>
    <row r="54" spans="1:40" ht="33.950000000000003" hidden="1">
      <c r="A54" s="25">
        <v>1.5</v>
      </c>
      <c r="B54" s="48" t="str">
        <v>Installation</v>
      </c>
      <c r="C54" s="3" t="str">
        <v>Dust logging device</v>
      </c>
      <c r="D54" s="3" t="str">
        <v>Electronics parts - sensitive equipment - Do Not Freeze</v>
      </c>
      <c r="E54" s="23">
        <v>26</v>
      </c>
      <c r="F54" s="23">
        <v>24</v>
      </c>
      <c r="G54" s="23">
        <v>24</v>
      </c>
      <c r="H54" s="23">
        <v>1</v>
      </c>
      <c r="I54" s="22">
        <v>8.6666666666666661</v>
      </c>
      <c r="J54" s="22">
        <v>120</v>
      </c>
      <c r="K54" s="4">
        <v>120</v>
      </c>
      <c r="L54" s="445" t="str">
        <v>actual</v>
      </c>
      <c r="M54" s="436" t="str">
        <v>DNF</v>
      </c>
      <c r="N54" s="427" t="str">
        <v xml:space="preserve"> U. Wisc. Madison</v>
      </c>
      <c r="O54" s="435">
        <v>61</v>
      </c>
      <c r="P54" s="443">
        <v>45444</v>
      </c>
      <c r="Q54" s="429" t="str">
        <v>UWM - PTH</v>
      </c>
      <c r="R54" s="428">
        <v>45505</v>
      </c>
      <c r="S54" s="430" t="str">
        <v>Truck</v>
      </c>
      <c r="T54" s="431" t="str">
        <v>PTH - CHC</v>
      </c>
      <c r="U54" s="431" t="str">
        <v>-</v>
      </c>
      <c r="V54" s="433" t="str">
        <v>ComAir</v>
      </c>
      <c r="W54" s="433" t="str">
        <v>CHC-MCM</v>
      </c>
      <c r="X54" s="433" t="str">
        <v>-</v>
      </c>
      <c r="Y54" s="435" t="str">
        <v>USAP Air</v>
      </c>
      <c r="Z54" s="434">
        <v>45597</v>
      </c>
      <c r="AA54" s="427" t="str">
        <v>-</v>
      </c>
      <c r="AB54" s="435" t="str">
        <v>LC-130</v>
      </c>
      <c r="AC54" s="409">
        <v>45621</v>
      </c>
      <c r="AD54" s="409" t="str">
        <v>Yes</v>
      </c>
      <c r="AE54" s="409" t="str">
        <v>FY25 inter</v>
      </c>
      <c r="AF54" s="409" t="str">
        <v>FY25 intra</v>
      </c>
      <c r="AG54" s="409" t="str">
        <v>D. Williams</v>
      </c>
      <c r="AH54" s="409">
        <v>44483</v>
      </c>
      <c r="AI54" s="409" t="str">
        <v>D. Tosi</v>
      </c>
      <c r="AJ54" s="409">
        <v>44459</v>
      </c>
      <c r="AK54" s="409" t="str">
        <v>Used weights from last deployment season shipment data (could be combined)</v>
      </c>
      <c r="AL54" s="9" t="str">
        <v/>
      </c>
    </row>
    <row r="55" spans="1:40" ht="33.950000000000003" hidden="1">
      <c r="A55" s="25">
        <v>1.5</v>
      </c>
      <c r="B55" s="48" t="str">
        <v>Installation</v>
      </c>
      <c r="C55" s="3" t="str">
        <v>Dust logging device</v>
      </c>
      <c r="D55" s="3" t="str">
        <v>Electronics parts - sensitive equipment - Do Not Freeze</v>
      </c>
      <c r="E55" s="23">
        <v>26</v>
      </c>
      <c r="F55" s="23">
        <v>23</v>
      </c>
      <c r="G55" s="23">
        <v>20</v>
      </c>
      <c r="H55" s="23">
        <v>1</v>
      </c>
      <c r="I55" s="22">
        <v>6.9212962962962967</v>
      </c>
      <c r="J55" s="22">
        <v>60</v>
      </c>
      <c r="K55" s="4">
        <v>60</v>
      </c>
      <c r="L55" s="445" t="str">
        <v>actual</v>
      </c>
      <c r="M55" s="436" t="str">
        <v>DNF</v>
      </c>
      <c r="N55" s="427" t="str">
        <v xml:space="preserve"> U. Wisc. Madison</v>
      </c>
      <c r="O55" s="435">
        <v>61</v>
      </c>
      <c r="P55" s="443">
        <v>45444</v>
      </c>
      <c r="Q55" s="429" t="str">
        <v>UWM - PTH</v>
      </c>
      <c r="R55" s="428">
        <v>45505</v>
      </c>
      <c r="S55" s="430" t="str">
        <v>Truck</v>
      </c>
      <c r="T55" s="431" t="str">
        <v>PTH - CHC</v>
      </c>
      <c r="U55" s="431" t="str">
        <v>-</v>
      </c>
      <c r="V55" s="433" t="str">
        <v>ComAir</v>
      </c>
      <c r="W55" s="433" t="str">
        <v>CHC-MCM</v>
      </c>
      <c r="X55" s="433" t="str">
        <v>-</v>
      </c>
      <c r="Y55" s="435" t="str">
        <v>USAP Air</v>
      </c>
      <c r="Z55" s="434">
        <v>45597</v>
      </c>
      <c r="AA55" s="427" t="str">
        <v>-</v>
      </c>
      <c r="AB55" s="435" t="str">
        <v>LC-130</v>
      </c>
      <c r="AC55" s="409">
        <v>45621</v>
      </c>
      <c r="AD55" s="409" t="str">
        <v>Yes</v>
      </c>
      <c r="AE55" s="409" t="str">
        <v>FY25 inter</v>
      </c>
      <c r="AF55" s="409" t="str">
        <v>FY25 intra</v>
      </c>
      <c r="AG55" s="409" t="str">
        <v>D. Williams</v>
      </c>
      <c r="AH55" s="409">
        <v>44483</v>
      </c>
      <c r="AI55" s="409" t="str">
        <v>D. Tosi</v>
      </c>
      <c r="AJ55" s="409">
        <v>44460</v>
      </c>
      <c r="AK55" s="409" t="str">
        <v>Used weights from last deployment season shipment data (could be combined)</v>
      </c>
      <c r="AL55" s="9" t="str">
        <v/>
      </c>
    </row>
    <row r="56" spans="1:40" ht="33.950000000000003" hidden="1">
      <c r="A56" s="25">
        <v>1.5</v>
      </c>
      <c r="B56" s="48" t="str">
        <v>Installation</v>
      </c>
      <c r="C56" s="3" t="str">
        <v>Logging winch</v>
      </c>
      <c r="D56" s="3" t="str">
        <v xml:space="preserve">Winch to be used for Dust Logging </v>
      </c>
      <c r="E56" s="23">
        <v>86</v>
      </c>
      <c r="F56" s="23">
        <v>60</v>
      </c>
      <c r="G56" s="23">
        <v>68</v>
      </c>
      <c r="H56" s="23">
        <v>1</v>
      </c>
      <c r="I56" s="22">
        <v>203.05555555555554</v>
      </c>
      <c r="J56" s="22">
        <v>3500</v>
      </c>
      <c r="K56" s="4">
        <v>3500</v>
      </c>
      <c r="L56" s="445" t="str">
        <v>preliminary</v>
      </c>
      <c r="M56" s="436" t="str">
        <v/>
      </c>
      <c r="N56" s="427" t="str">
        <v xml:space="preserve"> U. Wisc. Madison</v>
      </c>
      <c r="O56" s="435">
        <v>61</v>
      </c>
      <c r="P56" s="443">
        <v>45444</v>
      </c>
      <c r="Q56" s="429" t="str">
        <v>UWM - PTH</v>
      </c>
      <c r="R56" s="428">
        <v>45505</v>
      </c>
      <c r="S56" s="430" t="str">
        <v>Truck</v>
      </c>
      <c r="T56" s="431" t="str">
        <v>PTH - CHC</v>
      </c>
      <c r="U56" s="431" t="str">
        <v>-</v>
      </c>
      <c r="V56" s="433" t="str">
        <v>ComAir</v>
      </c>
      <c r="W56" s="433" t="str">
        <v>CHC-MCM</v>
      </c>
      <c r="X56" s="433" t="str">
        <v>-</v>
      </c>
      <c r="Y56" s="435" t="str">
        <v>USAP Air</v>
      </c>
      <c r="Z56" s="434">
        <v>45597</v>
      </c>
      <c r="AA56" s="427" t="str">
        <v>-</v>
      </c>
      <c r="AB56" s="435" t="str">
        <v>LC-130</v>
      </c>
      <c r="AC56" s="409">
        <v>45621</v>
      </c>
      <c r="AD56" s="409" t="str">
        <v>Yes</v>
      </c>
      <c r="AE56" s="409" t="str">
        <v>FY25 inter</v>
      </c>
      <c r="AF56" s="409" t="str">
        <v>FY25 intra</v>
      </c>
      <c r="AG56" s="409" t="str">
        <v>D. Tosi</v>
      </c>
      <c r="AH56" s="409">
        <v>44477</v>
      </c>
      <c r="AI56" s="409" t="str">
        <v>I. McEwen</v>
      </c>
      <c r="AJ56" s="409">
        <v>44477</v>
      </c>
      <c r="AK56" s="409" t="str">
        <v>Used weights and cubes of IDP deep logging winch. Send back end of season</v>
      </c>
      <c r="AL56" s="9" t="str">
        <v/>
      </c>
    </row>
    <row r="57" spans="1:40" ht="33.950000000000003" hidden="1">
      <c r="A57" s="25">
        <v>1.5</v>
      </c>
      <c r="B57" s="48" t="str">
        <v>Installation</v>
      </c>
      <c r="C57" s="3" t="str">
        <v>Logging winch control box</v>
      </c>
      <c r="D57" s="3" t="str">
        <v>Control Box for winch for Dust Logging  - sensitive equipment - Do Not Freeze</v>
      </c>
      <c r="E57" s="23">
        <v>48</v>
      </c>
      <c r="F57" s="23">
        <v>48</v>
      </c>
      <c r="G57" s="23">
        <v>36</v>
      </c>
      <c r="H57" s="23">
        <v>1</v>
      </c>
      <c r="I57" s="22">
        <v>48</v>
      </c>
      <c r="J57" s="22">
        <v>400</v>
      </c>
      <c r="K57" s="4">
        <v>400</v>
      </c>
      <c r="L57" s="445" t="str">
        <v>preliminary</v>
      </c>
      <c r="M57" s="436" t="str">
        <v>DNF</v>
      </c>
      <c r="N57" s="427" t="str">
        <v xml:space="preserve"> U. Wisc. Madison</v>
      </c>
      <c r="O57" s="435">
        <v>61</v>
      </c>
      <c r="P57" s="443">
        <v>45444</v>
      </c>
      <c r="Q57" s="429" t="str">
        <v>UWM - PTH</v>
      </c>
      <c r="R57" s="428">
        <v>45505</v>
      </c>
      <c r="S57" s="430" t="str">
        <v>Truck</v>
      </c>
      <c r="T57" s="431" t="str">
        <v>PTH - CHC</v>
      </c>
      <c r="U57" s="431" t="str">
        <v>-</v>
      </c>
      <c r="V57" s="433" t="str">
        <v>ComAir</v>
      </c>
      <c r="W57" s="433" t="str">
        <v>CHC-MCM</v>
      </c>
      <c r="X57" s="433" t="str">
        <v>-</v>
      </c>
      <c r="Y57" s="435" t="str">
        <v>USAP Air</v>
      </c>
      <c r="Z57" s="434">
        <v>45597</v>
      </c>
      <c r="AA57" s="427" t="str">
        <v>-</v>
      </c>
      <c r="AB57" s="435" t="str">
        <v>LC-130</v>
      </c>
      <c r="AC57" s="409">
        <v>45621</v>
      </c>
      <c r="AD57" s="409" t="str">
        <v>Yes</v>
      </c>
      <c r="AE57" s="409" t="str">
        <v>FY25 inter</v>
      </c>
      <c r="AF57" s="409" t="str">
        <v>FY25 intra</v>
      </c>
      <c r="AG57" s="409" t="str">
        <v>D. Tosi</v>
      </c>
      <c r="AH57" s="409">
        <v>44477</v>
      </c>
      <c r="AI57" s="409" t="str">
        <v>I. McEwen</v>
      </c>
      <c r="AJ57" s="409">
        <v>44477</v>
      </c>
      <c r="AK57" s="409" t="str">
        <v>Used weights and cubes of IDP deep logging winch. Send back end of season</v>
      </c>
      <c r="AL57" s="9"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ht="30" customHeight="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98">
        <v>14</v>
      </c>
      <c r="P59" s="429">
        <v>44866</v>
      </c>
      <c r="Q59" s="429" t="str">
        <v>MSU - PTH</v>
      </c>
      <c r="R59" s="429">
        <v>44880</v>
      </c>
      <c r="S59" s="430" t="str">
        <v>Truck</v>
      </c>
      <c r="T59" s="431" t="str">
        <v>PTH - MCM</v>
      </c>
      <c r="U59" s="431" t="str">
        <v>-</v>
      </c>
      <c r="V59" s="433" t="str">
        <v>USAP Vessel</v>
      </c>
      <c r="W59" s="433" t="str">
        <v>USAP Vessel</v>
      </c>
      <c r="X59" s="433" t="str">
        <v>-</v>
      </c>
      <c r="Y59" s="426" t="str">
        <v>-</v>
      </c>
      <c r="Z59" s="426">
        <v>44963</v>
      </c>
      <c r="AA59" s="409" t="str">
        <v>-</v>
      </c>
      <c r="AB59" s="435" t="str">
        <v>LC-130/SPoT</v>
      </c>
      <c r="AC59" s="435">
        <v>45270</v>
      </c>
      <c r="AD59" s="409" t="str">
        <v>Yes</v>
      </c>
      <c r="AE59" s="409" t="str">
        <v>FY23 inter</v>
      </c>
      <c r="AF59" s="409" t="str">
        <v>FY24 intra</v>
      </c>
      <c r="AG59" s="435" t="str">
        <v>T. DeYoung</v>
      </c>
      <c r="AH59" s="435">
        <v>44482</v>
      </c>
      <c r="AI59" s="435" t="str">
        <v>D. Tosi</v>
      </c>
      <c r="AJ59" s="435">
        <v>44480</v>
      </c>
      <c r="AK59" s="409" t="str">
        <v>Each is 66" x 30" x 14", each is 112 lbs. Assume Folding crate. Simple passive objects, work plan can probably be shifted to increase float.</v>
      </c>
      <c r="AL59" s="9" t="str">
        <v/>
      </c>
    </row>
    <row r="60" spans="1:40" ht="32.25"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12" t="str">
        <v/>
      </c>
      <c r="N60" s="427" t="str">
        <v>MSU</v>
      </c>
      <c r="O60" s="498">
        <v>366</v>
      </c>
      <c r="P60" s="429">
        <v>44530</v>
      </c>
      <c r="Q60" s="429" t="str">
        <v>MSU - PTH</v>
      </c>
      <c r="R60" s="429">
        <v>44896</v>
      </c>
      <c r="S60" s="430" t="str">
        <v>Truck</v>
      </c>
      <c r="T60" s="431" t="str">
        <v>PTH - MCM</v>
      </c>
      <c r="U60" s="431" t="str">
        <v>-</v>
      </c>
      <c r="V60" s="433" t="str">
        <v>USAP Vessel</v>
      </c>
      <c r="W60" s="433" t="str">
        <v>USAP Vessel</v>
      </c>
      <c r="X60" s="433" t="str">
        <v>-</v>
      </c>
      <c r="Y60" s="426" t="str">
        <v>-</v>
      </c>
      <c r="Z60" s="426">
        <v>44963</v>
      </c>
      <c r="AA60" s="409" t="str">
        <v>-</v>
      </c>
      <c r="AB60" s="435" t="str">
        <v>LC-130</v>
      </c>
      <c r="AC60" s="435">
        <v>45250</v>
      </c>
      <c r="AD60" s="409" t="str">
        <v>Yes</v>
      </c>
      <c r="AE60" s="409" t="str">
        <v>FY23 inter</v>
      </c>
      <c r="AF60" s="409" t="str">
        <v>FY24 intra</v>
      </c>
      <c r="AG60" s="435" t="str">
        <v>T. DeYoung</v>
      </c>
      <c r="AH60" s="435">
        <v>44482</v>
      </c>
      <c r="AI60" s="435" t="str">
        <v>D. Tosi</v>
      </c>
      <c r="AJ60" s="435">
        <v>44480</v>
      </c>
      <c r="AK60" s="409" t="str">
        <v/>
      </c>
      <c r="AL60" s="9" t="str">
        <v/>
      </c>
    </row>
    <row r="61" spans="1:40" ht="68.099999999999994">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12" t="str">
        <v>DNDF[-40C](*)</v>
      </c>
      <c r="N61" s="427" t="str">
        <v>MSU</v>
      </c>
      <c r="O61" s="498">
        <v>46</v>
      </c>
      <c r="P61" s="429">
        <v>44985</v>
      </c>
      <c r="Q61" s="429" t="str">
        <v>MSU - PTH</v>
      </c>
      <c r="R61" s="429">
        <v>45031</v>
      </c>
      <c r="S61" s="431" t="str">
        <v>Truck</v>
      </c>
      <c r="T61" s="431" t="str">
        <v>PTH - MCM</v>
      </c>
      <c r="U61" s="431" t="str">
        <v>-</v>
      </c>
      <c r="V61" s="433" t="str">
        <v>USAP Vessel</v>
      </c>
      <c r="W61" s="433" t="str">
        <v>USAP Vessel</v>
      </c>
      <c r="X61" s="433" t="str">
        <v>-</v>
      </c>
      <c r="Y61" s="426" t="str">
        <v>-</v>
      </c>
      <c r="Z61" s="426">
        <v>45328</v>
      </c>
      <c r="AA61" s="427" t="str">
        <v>-</v>
      </c>
      <c r="AB61" s="435" t="str">
        <v>LC-130</v>
      </c>
      <c r="AC61" s="435">
        <v>45337</v>
      </c>
      <c r="AD61" s="409" t="str">
        <v>Yes</v>
      </c>
      <c r="AE61" s="409" t="str">
        <v>FY24 inter</v>
      </c>
      <c r="AF61" s="409" t="str">
        <v>FY24 intra</v>
      </c>
      <c r="AG61" s="435" t="str">
        <v>T. DeYoung</v>
      </c>
      <c r="AH61" s="435">
        <v>44459</v>
      </c>
      <c r="AI61" s="435" t="str">
        <v>D. Tosi</v>
      </c>
      <c r="AJ61" s="435">
        <v>44480</v>
      </c>
      <c r="AK61" s="409" t="e">
        <v>#VALUE!</v>
      </c>
      <c r="AL61" s="9" t="str">
        <v/>
      </c>
    </row>
    <row r="62" spans="1:40" ht="32.25" hidden="1" customHeight="1">
      <c r="A62" s="35">
        <v>1.4</v>
      </c>
      <c r="B62" s="89" t="str">
        <v>Installation</v>
      </c>
      <c r="C62" s="20" t="str">
        <v>Breakout cables for strings 89-93</v>
      </c>
      <c r="D62" s="20" t="str">
        <v>Stored in McMurdo FY24. 5 wooden crates containing spooled breakout cable assemblies - 96 cf/ 1,000 lbs each (preliminary) -  Do Not Deep Freeze</v>
      </c>
      <c r="E62" s="36">
        <v>72</v>
      </c>
      <c r="F62" s="36">
        <v>48</v>
      </c>
      <c r="G62" s="36">
        <v>48</v>
      </c>
      <c r="H62" s="23">
        <v>5</v>
      </c>
      <c r="I62" s="4">
        <v>480</v>
      </c>
      <c r="J62" s="4">
        <v>1000</v>
      </c>
      <c r="K62" s="4">
        <v>5000</v>
      </c>
      <c r="L62" s="36" t="str">
        <v>estimated</v>
      </c>
      <c r="M62" s="436" t="str">
        <v>DNDF[-40C](*)</v>
      </c>
      <c r="N62" s="427" t="str">
        <v>MSU</v>
      </c>
      <c r="O62" s="435">
        <v>24</v>
      </c>
      <c r="P62" s="428">
        <v>45068</v>
      </c>
      <c r="Q62" s="429" t="str">
        <v>MSU - PTH</v>
      </c>
      <c r="R62" s="428">
        <v>45092</v>
      </c>
      <c r="S62" s="431" t="str">
        <v>Truck</v>
      </c>
      <c r="T62" s="431" t="str">
        <v>PTH - MCM</v>
      </c>
      <c r="U62" s="431" t="str">
        <v>-</v>
      </c>
      <c r="V62" s="433" t="str">
        <v>USAP Vessel</v>
      </c>
      <c r="W62" s="433" t="str">
        <v>USAP Vessel</v>
      </c>
      <c r="X62" s="433" t="str">
        <v>-</v>
      </c>
      <c r="Y62" s="426" t="str">
        <v>-</v>
      </c>
      <c r="Z62" s="434">
        <v>45328</v>
      </c>
      <c r="AA62" s="427" t="str">
        <v>-</v>
      </c>
      <c r="AB62" s="435" t="str">
        <v>LC-130/SPoT</v>
      </c>
      <c r="AC62" s="409">
        <v>45621</v>
      </c>
      <c r="AD62" s="409" t="str">
        <v>Yes</v>
      </c>
      <c r="AE62" s="409" t="str">
        <v>FY24 inter</v>
      </c>
      <c r="AF62" s="409" t="str">
        <v>FY25 intra</v>
      </c>
      <c r="AG62" s="409" t="str">
        <v>T. DeYoung</v>
      </c>
      <c r="AH62" s="409">
        <v>44459</v>
      </c>
      <c r="AI62" s="409" t="str">
        <v>D. Tosi</v>
      </c>
      <c r="AJ62" s="409">
        <v>44459</v>
      </c>
      <c r="AK62" s="409" t="str">
        <v xml:space="preserve">Float in PTH due to storage limitation in MSU.
(*) storage in McMurdo pending low temperature test  </v>
      </c>
      <c r="AL62" s="9" t="str">
        <v/>
      </c>
    </row>
    <row r="63" spans="1:40" ht="32.25" hidden="1" customHeight="1">
      <c r="A63" s="35">
        <v>1.4</v>
      </c>
      <c r="B63" s="51" t="str">
        <v>Installation</v>
      </c>
      <c r="C63" s="20" t="str">
        <v>Main (downhole) load members 87-93</v>
      </c>
      <c r="D63" s="20" t="str">
        <v>May be possible to store in McMurdo until drill season - Do Not Deep Freeze</v>
      </c>
      <c r="E63" s="36">
        <v>47</v>
      </c>
      <c r="F63" s="36">
        <v>47</v>
      </c>
      <c r="G63" s="36">
        <v>39</v>
      </c>
      <c r="H63" s="23">
        <v>7</v>
      </c>
      <c r="I63" s="4">
        <v>348.99131944444446</v>
      </c>
      <c r="J63" s="4">
        <v>766</v>
      </c>
      <c r="K63" s="4">
        <v>5362</v>
      </c>
      <c r="L63" s="36" t="str">
        <v>preliminary</v>
      </c>
      <c r="M63" s="112" t="str">
        <v>DNDF[-40C](*)</v>
      </c>
      <c r="N63" s="427" t="str">
        <v>MSU</v>
      </c>
      <c r="O63" s="435">
        <v>14</v>
      </c>
      <c r="P63" s="428">
        <v>45017</v>
      </c>
      <c r="Q63" s="429" t="str">
        <v>MSU - PTH</v>
      </c>
      <c r="R63" s="428">
        <v>45031</v>
      </c>
      <c r="S63" s="431" t="str">
        <v>Truck</v>
      </c>
      <c r="T63" s="431" t="str">
        <v>PTH - MCM</v>
      </c>
      <c r="U63" s="431" t="str">
        <v>-</v>
      </c>
      <c r="V63" s="433" t="str">
        <v>USAP Vessel</v>
      </c>
      <c r="W63" s="433" t="str">
        <v>USAP Vessel</v>
      </c>
      <c r="X63" s="433" t="str">
        <v>-</v>
      </c>
      <c r="Y63" s="426" t="str">
        <v>-</v>
      </c>
      <c r="Z63" s="434">
        <v>45328</v>
      </c>
      <c r="AA63" s="409" t="str">
        <v>-</v>
      </c>
      <c r="AB63" s="435" t="str">
        <v>LC-130/SPoT</v>
      </c>
      <c r="AC63" s="409">
        <v>45627</v>
      </c>
      <c r="AD63" s="409" t="str">
        <v>Yes</v>
      </c>
      <c r="AE63" s="409" t="str">
        <v>FY24 inter</v>
      </c>
      <c r="AF63" s="409" t="str">
        <v>FY25 intra</v>
      </c>
      <c r="AG63" s="409" t="str">
        <v>T. DeYoung</v>
      </c>
      <c r="AH63" s="409">
        <v>44459</v>
      </c>
      <c r="AI63" s="409" t="str">
        <v>D. Tosi</v>
      </c>
      <c r="AJ63" s="409">
        <v>44480</v>
      </c>
      <c r="AK63" s="409" t="str">
        <v>Shipping date synched with main (downhole) cables due to storage limitation in MSU. Float in PTH.</v>
      </c>
      <c r="AL63" s="9" t="str">
        <v/>
      </c>
    </row>
    <row r="64" spans="1:40" ht="40.5" hidden="1" customHeight="1">
      <c r="A64" s="35">
        <v>1.4</v>
      </c>
      <c r="B64" s="51" t="str">
        <v>Installation</v>
      </c>
      <c r="C64" s="20" t="str">
        <v>Main (downhole) cables 87-93</v>
      </c>
      <c r="D64" s="20" t="str">
        <v>May be possible to store in McMurdo until drill season - Do Not Deep Freeze</v>
      </c>
      <c r="E64" s="36">
        <v>96</v>
      </c>
      <c r="F64" s="36">
        <v>96</v>
      </c>
      <c r="G64" s="36">
        <v>96</v>
      </c>
      <c r="H64" s="23">
        <v>7</v>
      </c>
      <c r="I64" s="4">
        <v>3584</v>
      </c>
      <c r="J64" s="4">
        <v>15000</v>
      </c>
      <c r="K64" s="4">
        <v>105000</v>
      </c>
      <c r="L64" s="36" t="str">
        <v>preliminary</v>
      </c>
      <c r="M64" s="112" t="str">
        <v>DNDF[-40C](*)</v>
      </c>
      <c r="N64" s="427" t="str">
        <v>MSU</v>
      </c>
      <c r="O64" s="435">
        <v>14</v>
      </c>
      <c r="P64" s="428">
        <v>45017</v>
      </c>
      <c r="Q64" s="429" t="str">
        <v>MSU - PTH</v>
      </c>
      <c r="R64" s="428">
        <v>45031</v>
      </c>
      <c r="S64" s="431" t="str">
        <v>Truck</v>
      </c>
      <c r="T64" s="431" t="str">
        <v>PTH - MCM</v>
      </c>
      <c r="U64" s="431" t="str">
        <v>-</v>
      </c>
      <c r="V64" s="433" t="str">
        <v>USAP Vessel</v>
      </c>
      <c r="W64" s="433" t="str">
        <v>USAP Vessel</v>
      </c>
      <c r="X64" s="433" t="str">
        <v>-</v>
      </c>
      <c r="Y64" s="426" t="str">
        <v>-</v>
      </c>
      <c r="Z64" s="434">
        <v>45328</v>
      </c>
      <c r="AA64" s="409" t="str">
        <v>-</v>
      </c>
      <c r="AB64" s="435" t="str">
        <v>LC-130/SPoT</v>
      </c>
      <c r="AC64" s="409">
        <v>45627</v>
      </c>
      <c r="AD64" s="409" t="str">
        <v>Yes</v>
      </c>
      <c r="AE64" s="409" t="str">
        <v>FY24 inter</v>
      </c>
      <c r="AF64" s="409" t="str">
        <v>FY25 intra</v>
      </c>
      <c r="AG64" s="409" t="str">
        <v>T. DeYoung</v>
      </c>
      <c r="AH64" s="409">
        <v>44459</v>
      </c>
      <c r="AI64" s="409" t="str">
        <v>D. Tosi</v>
      </c>
      <c r="AJ64" s="409">
        <v>44480</v>
      </c>
      <c r="AK64" s="409" t="str">
        <v>Shipping date chosen to be 2 weeks after scheduled ready to ship date because of storage limitations at MSU. additional 7 months of float at Port Hueneme assuming USAP vessel departure.  (*) storage in McMurdo pending low temperature test.</v>
      </c>
      <c r="AL64" s="9" t="str">
        <v/>
      </c>
    </row>
    <row r="65" spans="1:40" ht="72" hidden="1" customHeight="1">
      <c r="A65" s="25">
        <v>1.3</v>
      </c>
      <c r="B65" s="48" t="str">
        <v>Installation</v>
      </c>
      <c r="C65" s="3" t="str">
        <v>String Sensors 89-93</v>
      </c>
      <c r="D65" s="3" t="str">
        <v>Optical Sensors for 5 strings from MSU (mDOMs) - Do Not Deep Freeze</v>
      </c>
      <c r="E65" s="23">
        <v>40</v>
      </c>
      <c r="F65" s="23">
        <v>48</v>
      </c>
      <c r="G65" s="445">
        <v>46</v>
      </c>
      <c r="H65" s="23">
        <v>25</v>
      </c>
      <c r="I65" s="4">
        <v>1277.7777777777778</v>
      </c>
      <c r="J65" s="4">
        <v>573</v>
      </c>
      <c r="K65" s="4">
        <v>14325</v>
      </c>
      <c r="L65" s="445" t="str">
        <v>actual(**)</v>
      </c>
      <c r="M65" s="6" t="str">
        <v>DNDF [-40C]</v>
      </c>
      <c r="N65" s="10" t="str">
        <v>MSU</v>
      </c>
      <c r="O65" s="435">
        <v>366</v>
      </c>
      <c r="P65" s="428">
        <v>45139</v>
      </c>
      <c r="Q65" s="429" t="str">
        <v>MSU - PTH</v>
      </c>
      <c r="R65" s="428">
        <v>45505</v>
      </c>
      <c r="S65" s="431" t="str">
        <v>Truck</v>
      </c>
      <c r="T65" s="431" t="str">
        <v>PTH - CHC</v>
      </c>
      <c r="U65" s="431" t="str">
        <v>-</v>
      </c>
      <c r="V65" s="433" t="str">
        <v>ComSur</v>
      </c>
      <c r="W65" s="433" t="str">
        <v>CHC - MCM</v>
      </c>
      <c r="X65" s="433" t="str">
        <v>-</v>
      </c>
      <c r="Y65" s="435" t="str">
        <v>USAP Air</v>
      </c>
      <c r="Z65" s="434">
        <v>45597</v>
      </c>
      <c r="AA65" s="427" t="str">
        <v>-</v>
      </c>
      <c r="AB65" s="435" t="str">
        <v>LC-130</v>
      </c>
      <c r="AC65" s="409">
        <v>45621</v>
      </c>
      <c r="AD65" s="409" t="str">
        <v>Yes</v>
      </c>
      <c r="AE65" s="409" t="str">
        <v>FY25 inter</v>
      </c>
      <c r="AF65" s="409" t="str">
        <v>FY25 intra</v>
      </c>
      <c r="AG65" s="409" t="str">
        <v>T. Karg</v>
      </c>
      <c r="AH65" s="409">
        <v>44459</v>
      </c>
      <c r="AI65" s="409" t="str">
        <v>D. Tosi</v>
      </c>
      <c r="AJ65" s="409">
        <v>44461</v>
      </c>
      <c r="AK65" s="409" t="str">
        <v>mDOM weight is 28 kg/boxed + 35kg pallet, assume 8 mDOMs/pallet (189 to be deployed + 11 spares)(*)Assumed to be shipped in 2x20' HC  (5115 lbs, 238inx96inx114in) or a 40 ft HC, purchased by MSU or loaned in PTH (container weight not included)</v>
      </c>
      <c r="AL65" s="9" t="str">
        <v/>
      </c>
    </row>
    <row r="66" spans="1:40" ht="51" hidden="1">
      <c r="A66" s="25">
        <v>1.3</v>
      </c>
      <c r="B66" s="48" t="str">
        <v>Installation</v>
      </c>
      <c r="C66" s="3" t="str">
        <v>String Sensors 89-93</v>
      </c>
      <c r="D66" s="3" t="str">
        <v>Optical Sensors for 5 strings from MSU (mDOMs) containers (TBD) - Do Not Deep Freeze</v>
      </c>
      <c r="E66" s="23">
        <v>238</v>
      </c>
      <c r="F66" s="23">
        <v>96</v>
      </c>
      <c r="G66" s="445">
        <v>114</v>
      </c>
      <c r="H66" s="23">
        <v>0</v>
      </c>
      <c r="I66" s="4">
        <v>0</v>
      </c>
      <c r="J66" s="4">
        <v>5115</v>
      </c>
      <c r="K66" s="4">
        <v>0</v>
      </c>
      <c r="L66" s="445" t="str">
        <v>actual(**)</v>
      </c>
      <c r="M66" s="6" t="str">
        <v>DNDF [-40C]</v>
      </c>
      <c r="N66" s="10" t="str">
        <v>MSU</v>
      </c>
      <c r="O66" s="435">
        <v>366</v>
      </c>
      <c r="P66" s="428">
        <v>45139</v>
      </c>
      <c r="Q66" s="429" t="str">
        <v>MSU - PTH</v>
      </c>
      <c r="R66" s="428">
        <v>45505</v>
      </c>
      <c r="S66" s="431" t="str">
        <v>Truck</v>
      </c>
      <c r="T66" s="431" t="str">
        <v>PTH - CHC</v>
      </c>
      <c r="U66" s="431" t="str">
        <v>-</v>
      </c>
      <c r="V66" s="433" t="str">
        <v>ComSur</v>
      </c>
      <c r="W66" s="433" t="str">
        <v>CHC - MCM</v>
      </c>
      <c r="X66" s="433" t="str">
        <v>-</v>
      </c>
      <c r="Y66" s="435" t="str">
        <v>USAP Air</v>
      </c>
      <c r="Z66" s="434">
        <v>45597</v>
      </c>
      <c r="AA66" s="427" t="str">
        <v>-</v>
      </c>
      <c r="AB66" s="435" t="str">
        <v>LC-130</v>
      </c>
      <c r="AC66" s="409">
        <v>45621</v>
      </c>
      <c r="AD66" s="409" t="str">
        <v>Yes</v>
      </c>
      <c r="AE66" s="409" t="str">
        <v>FY25 inter</v>
      </c>
      <c r="AF66" s="409" t="str">
        <v>FY25 intra</v>
      </c>
      <c r="AG66" s="409" t="str">
        <v>T. Karg</v>
      </c>
      <c r="AH66" s="409">
        <v>44459</v>
      </c>
      <c r="AI66" s="409" t="str">
        <v>D. Tosi</v>
      </c>
      <c r="AJ66" s="409">
        <v>44461</v>
      </c>
      <c r="AK66" s="409" t="str">
        <v>Assume 2x20HC containers for transport on COMSUR (TBC). Pallets could be loaded to 53 ft truck and loaded into a loaned container in PTH but this would increase touch points (and risk)</v>
      </c>
      <c r="AL66" s="9"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hidden="1" customHeight="1" thickTop="1">
      <c r="A68" s="25">
        <v>1.3</v>
      </c>
      <c r="B68" s="48" t="str">
        <v>Installation</v>
      </c>
      <c r="C68" s="3" t="str">
        <v>DM-Ice</v>
      </c>
      <c r="D68" s="3" t="str">
        <v>DM-ice (two modules for string 89 and 90) - Do Not Deep Freeze</v>
      </c>
      <c r="E68" s="23">
        <v>48</v>
      </c>
      <c r="F68" s="23">
        <v>48</v>
      </c>
      <c r="G68" s="23">
        <v>48</v>
      </c>
      <c r="H68" s="23">
        <v>1</v>
      </c>
      <c r="I68" s="4">
        <v>64</v>
      </c>
      <c r="J68" s="4">
        <v>1500</v>
      </c>
      <c r="K68" s="4">
        <v>1500</v>
      </c>
      <c r="L68" s="445" t="str">
        <v>estimated</v>
      </c>
      <c r="M68" s="6" t="str">
        <v>DNDF [-40C]</v>
      </c>
      <c r="N68" s="10" t="str">
        <v>Yale</v>
      </c>
      <c r="O68" s="435">
        <v>61</v>
      </c>
      <c r="P68" s="428">
        <v>45444</v>
      </c>
      <c r="Q68" s="429" t="str">
        <v>Yale - PTH</v>
      </c>
      <c r="R68" s="428">
        <v>45505</v>
      </c>
      <c r="S68" s="431" t="str">
        <v>Truck</v>
      </c>
      <c r="T68" s="431" t="str">
        <v>PTH - CHC</v>
      </c>
      <c r="U68" s="431" t="str">
        <v>-</v>
      </c>
      <c r="V68" s="433" t="str">
        <v>ComSur</v>
      </c>
      <c r="W68" s="433" t="str">
        <v>CHC - MCM</v>
      </c>
      <c r="X68" s="433" t="str">
        <v>-</v>
      </c>
      <c r="Y68" s="435" t="str">
        <v>USAP Air</v>
      </c>
      <c r="Z68" s="434">
        <v>45597</v>
      </c>
      <c r="AA68" s="427" t="str">
        <v>-</v>
      </c>
      <c r="AB68" s="435" t="str">
        <v>LC-130</v>
      </c>
      <c r="AC68" s="409">
        <v>45621</v>
      </c>
      <c r="AD68" s="409" t="str">
        <v>Yes</v>
      </c>
      <c r="AE68" s="409" t="str">
        <v>FY25 inter</v>
      </c>
      <c r="AF68" s="409" t="str">
        <v>FY25 intra</v>
      </c>
      <c r="AG68" s="409" t="str">
        <v>M. Kauer</v>
      </c>
      <c r="AH68" s="409">
        <v>44459</v>
      </c>
      <c r="AI68" s="409" t="str">
        <v>D. Tosi</v>
      </c>
      <c r="AJ68" s="409">
        <v>44459</v>
      </c>
      <c r="AK68" s="409" t="str">
        <v/>
      </c>
      <c r="AL68" s="9"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ht="68.099999999999994">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98">
        <v>122</v>
      </c>
      <c r="P70" s="429">
        <v>45017</v>
      </c>
      <c r="Q70" s="429" t="str">
        <v>DESY - CHC</v>
      </c>
      <c r="R70" s="429">
        <v>45139</v>
      </c>
      <c r="S70" s="431" t="str">
        <v>ComSur</v>
      </c>
      <c r="T70" s="431" t="str">
        <v>DESY-CHC</v>
      </c>
      <c r="U70" s="431" t="str">
        <v>-</v>
      </c>
      <c r="V70" s="433" t="str">
        <v>ComSur</v>
      </c>
      <c r="W70" s="433" t="str">
        <v>CHC - MCM</v>
      </c>
      <c r="X70" s="433" t="str">
        <v>-</v>
      </c>
      <c r="Y70" s="435" t="str">
        <v>USAP  Air</v>
      </c>
      <c r="Z70" s="426">
        <v>45231</v>
      </c>
      <c r="AA70" s="427" t="str">
        <v>-</v>
      </c>
      <c r="AB70" s="435" t="str">
        <v>LC-130</v>
      </c>
      <c r="AC70" s="435">
        <v>45306</v>
      </c>
      <c r="AD70" s="409" t="str">
        <v>Yes</v>
      </c>
      <c r="AE70" s="409" t="str">
        <v>FY24 inter</v>
      </c>
      <c r="AF70" s="409" t="str">
        <v>FY24 intra</v>
      </c>
      <c r="AG70" s="435" t="str">
        <v>T. Karg</v>
      </c>
      <c r="AH70" s="435">
        <v>44459</v>
      </c>
      <c r="AI70" s="435" t="str">
        <v>D. Tosi</v>
      </c>
      <c r="AJ70" s="435">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ht="68.099999999999994">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98">
        <v>122</v>
      </c>
      <c r="P71" s="429">
        <v>45017</v>
      </c>
      <c r="Q71" s="429" t="str">
        <v>DESY - CHC</v>
      </c>
      <c r="R71" s="429">
        <v>45139</v>
      </c>
      <c r="S71" s="431" t="str">
        <v>ComSur</v>
      </c>
      <c r="T71" s="431" t="str">
        <v>DESY-CHC</v>
      </c>
      <c r="U71" s="431" t="str">
        <v>-</v>
      </c>
      <c r="V71" s="433" t="str">
        <v>ComSur</v>
      </c>
      <c r="W71" s="433" t="str">
        <v>CHC - MCM</v>
      </c>
      <c r="X71" s="433" t="str">
        <v>-</v>
      </c>
      <c r="Y71" s="435" t="str">
        <v>USAP  Air</v>
      </c>
      <c r="Z71" s="426">
        <v>45231</v>
      </c>
      <c r="AA71" s="427" t="str">
        <v>-</v>
      </c>
      <c r="AB71" s="435" t="str">
        <v>LC-130</v>
      </c>
      <c r="AC71" s="435">
        <v>45306</v>
      </c>
      <c r="AD71" s="409" t="str">
        <v>Yes</v>
      </c>
      <c r="AE71" s="409" t="str">
        <v>FY24 inter</v>
      </c>
      <c r="AF71" s="409" t="str">
        <v>FY24 intra</v>
      </c>
      <c r="AG71" s="435" t="str">
        <v>T. Karg</v>
      </c>
      <c r="AH71" s="435">
        <v>44459</v>
      </c>
      <c r="AI71" s="435" t="str">
        <v>D. Tosi</v>
      </c>
      <c r="AJ71" s="435">
        <v>44461</v>
      </c>
      <c r="AK71" s="409" t="str">
        <v>mDOM weight is 62 lbs (25kg/sensor + 3 kg/box) + 35kg pallet, assume 8 mDOMs/pallet - shipped in 20 HC container. Container weight not included in the assumption that pallet will be taken out in CHC.</v>
      </c>
      <c r="AL71" s="9" t="str">
        <v/>
      </c>
    </row>
    <row r="72" spans="1:40" ht="33.950000000000003">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98">
        <v>212</v>
      </c>
      <c r="P72" s="429">
        <v>44927</v>
      </c>
      <c r="Q72" s="429" t="str">
        <v>DESY - CHC</v>
      </c>
      <c r="R72" s="429">
        <v>45139</v>
      </c>
      <c r="S72" s="431" t="str">
        <v>ComSur</v>
      </c>
      <c r="T72" s="431" t="str">
        <v>DESY-CHC</v>
      </c>
      <c r="U72" s="431" t="str">
        <v>-</v>
      </c>
      <c r="V72" s="433" t="str">
        <v>ComSur</v>
      </c>
      <c r="W72" s="433" t="str">
        <v>CHC - MCM</v>
      </c>
      <c r="X72" s="433" t="str">
        <v>-</v>
      </c>
      <c r="Y72" s="435" t="str">
        <v>USAP  Air</v>
      </c>
      <c r="Z72" s="426">
        <v>45231</v>
      </c>
      <c r="AA72" s="427" t="str">
        <v>-</v>
      </c>
      <c r="AB72" s="435" t="str">
        <v>LC-130</v>
      </c>
      <c r="AC72" s="435">
        <v>45306</v>
      </c>
      <c r="AD72" s="409" t="str">
        <v>Yes</v>
      </c>
      <c r="AE72" s="409" t="str">
        <v>FY24 inter</v>
      </c>
      <c r="AF72" s="409" t="str">
        <v>FY24 intra</v>
      </c>
      <c r="AG72" s="435" t="str">
        <v>S. Boeser</v>
      </c>
      <c r="AH72" s="435">
        <v>44482</v>
      </c>
      <c r="AI72" s="435" t="str">
        <v>D. Tosi</v>
      </c>
      <c r="AJ72" s="435">
        <v>44482</v>
      </c>
      <c r="AK72" s="409" t="str">
        <v xml:space="preserve">8 WOMs (no spares) - AH not included for now. Assume 150 lbs crate.  </v>
      </c>
      <c r="AL72" s="9" t="str">
        <v/>
      </c>
    </row>
    <row r="73" spans="1:40" ht="33.950000000000003">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98">
        <v>426</v>
      </c>
      <c r="P73" s="429">
        <v>44713</v>
      </c>
      <c r="Q73" s="429" t="str">
        <v>DESY - CHC</v>
      </c>
      <c r="R73" s="429">
        <v>45139</v>
      </c>
      <c r="S73" s="431" t="str">
        <v>ComSur</v>
      </c>
      <c r="T73" s="431" t="str">
        <v>DESY-CHC</v>
      </c>
      <c r="U73" s="431" t="str">
        <v>-</v>
      </c>
      <c r="V73" s="433" t="str">
        <v>ComSur</v>
      </c>
      <c r="W73" s="433" t="str">
        <v>CHC-MCM</v>
      </c>
      <c r="X73" s="433" t="str">
        <v>-</v>
      </c>
      <c r="Y73" s="435" t="str">
        <v>USAP  Air</v>
      </c>
      <c r="Z73" s="426">
        <v>45231</v>
      </c>
      <c r="AA73" s="427" t="str">
        <v>-</v>
      </c>
      <c r="AB73" s="435" t="str">
        <v>LC-130</v>
      </c>
      <c r="AC73" s="435">
        <v>45306</v>
      </c>
      <c r="AD73" s="409" t="str">
        <v>Yes</v>
      </c>
      <c r="AE73" s="409" t="str">
        <v>FY24 inter</v>
      </c>
      <c r="AF73" s="409" t="str">
        <v>FY24 intra</v>
      </c>
      <c r="AG73" s="435" t="str">
        <v>D. Williams</v>
      </c>
      <c r="AH73" s="435">
        <v>44482</v>
      </c>
      <c r="AI73" s="435" t="str">
        <v>D. Tosi</v>
      </c>
      <c r="AJ73" s="435">
        <v>44482</v>
      </c>
      <c r="AK73" s="409" t="str">
        <v>Calibration devices for strings 87-88 = 2+1 Sweden Camera + 3+1 Acoustic Module + 4+1 POCAM, including spares, 200 lbs crate</v>
      </c>
      <c r="AL73" s="9" t="str">
        <v/>
      </c>
    </row>
    <row r="74" spans="1:40" ht="33.950000000000003">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98">
        <v>14</v>
      </c>
      <c r="P74" s="429">
        <v>45139</v>
      </c>
      <c r="Q74" s="429" t="str">
        <v>DESY - CHC</v>
      </c>
      <c r="R74" s="429">
        <v>45153</v>
      </c>
      <c r="S74" s="431" t="str">
        <v>ComSur</v>
      </c>
      <c r="T74" s="431" t="str">
        <v>DESY-CHC</v>
      </c>
      <c r="U74" s="431" t="str">
        <v>-</v>
      </c>
      <c r="V74" s="433" t="str">
        <v>ComSur</v>
      </c>
      <c r="W74" s="433" t="str">
        <v>CHC-MCM</v>
      </c>
      <c r="X74" s="433" t="str">
        <v>-</v>
      </c>
      <c r="Y74" s="435" t="str">
        <v>USAP  Air</v>
      </c>
      <c r="Z74" s="426">
        <v>45231</v>
      </c>
      <c r="AA74" s="427" t="str">
        <v>-</v>
      </c>
      <c r="AB74" s="435" t="str">
        <v>LC-130</v>
      </c>
      <c r="AC74" s="435">
        <v>45261</v>
      </c>
      <c r="AD74" s="409" t="str">
        <v>No</v>
      </c>
      <c r="AE74" s="409" t="str">
        <v>FY24 inter</v>
      </c>
      <c r="AF74" s="409" t="str">
        <v>FY24 intra</v>
      </c>
      <c r="AG74" s="435" t="str">
        <v>J. Kelley</v>
      </c>
      <c r="AH74" s="435">
        <v>44482</v>
      </c>
      <c r="AI74" s="435" t="str">
        <v>D. Tosi</v>
      </c>
      <c r="AJ74" s="435">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hidden="1">
      <c r="A75" s="25">
        <v>1.3</v>
      </c>
      <c r="B75" s="48" t="str">
        <v>Installation</v>
      </c>
      <c r="C75" s="3" t="str">
        <v>String Sensors 89-93</v>
      </c>
      <c r="D75" s="3" t="str">
        <v>Optical sensors for 5 strings from Germany (mDOMs) - Do Not Deep Freeze</v>
      </c>
      <c r="E75" s="23">
        <v>40</v>
      </c>
      <c r="F75" s="23">
        <v>48</v>
      </c>
      <c r="G75" s="445">
        <v>46</v>
      </c>
      <c r="H75" s="23">
        <v>12</v>
      </c>
      <c r="I75" s="4">
        <v>613.33333333333337</v>
      </c>
      <c r="J75" s="4">
        <v>573</v>
      </c>
      <c r="K75" s="4">
        <v>6876</v>
      </c>
      <c r="L75" s="445" t="str">
        <v>actual(**)</v>
      </c>
      <c r="M75" s="6" t="str">
        <v>DNDF [-40C]</v>
      </c>
      <c r="N75" s="10" t="str">
        <v>DESY</v>
      </c>
      <c r="O75" s="435">
        <v>397</v>
      </c>
      <c r="P75" s="428">
        <v>45108</v>
      </c>
      <c r="Q75" s="429" t="str">
        <v>DESY - CHC</v>
      </c>
      <c r="R75" s="428">
        <v>45505</v>
      </c>
      <c r="S75" s="431" t="str">
        <v>ComSur</v>
      </c>
      <c r="T75" s="431" t="str">
        <v>DESY-CHC</v>
      </c>
      <c r="U75" s="431" t="str">
        <v>-</v>
      </c>
      <c r="V75" s="433" t="str">
        <v>ComSur</v>
      </c>
      <c r="W75" s="433" t="str">
        <v>CHC - MCM</v>
      </c>
      <c r="X75" s="433" t="str">
        <v>-</v>
      </c>
      <c r="Y75" s="435" t="str">
        <v>USAP  Air</v>
      </c>
      <c r="Z75" s="434">
        <v>45597</v>
      </c>
      <c r="AA75" s="427" t="str">
        <v>-</v>
      </c>
      <c r="AB75" s="435" t="str">
        <v>LC-130</v>
      </c>
      <c r="AC75" s="409">
        <v>45621</v>
      </c>
      <c r="AD75" s="409" t="str">
        <v>Yes</v>
      </c>
      <c r="AE75" s="409" t="str">
        <v>FY25 inter</v>
      </c>
      <c r="AF75" s="409" t="str">
        <v>FY25 intra</v>
      </c>
      <c r="AG75" s="409" t="str">
        <v>T. Karg</v>
      </c>
      <c r="AH75" s="409">
        <v>44459</v>
      </c>
      <c r="AI75" s="409" t="str">
        <v>D. Tosi</v>
      </c>
      <c r="AJ75" s="409">
        <v>44461</v>
      </c>
      <c r="AK75" s="409" t="str">
        <v>mDOM weight is (28kg/sensor boxed) + 35kg pallet, assume 8 mDOMs/pallet - 190 to be deployed + 10 spares. (**) shipped in 20 HC container. Container not included in weight as pallets will be taken out.</v>
      </c>
      <c r="AL75" s="9" t="str">
        <v/>
      </c>
    </row>
    <row r="76" spans="1:40" ht="33.950000000000003" hidden="1">
      <c r="A76" s="25">
        <v>1.3</v>
      </c>
      <c r="B76" s="48" t="str">
        <v>Installation</v>
      </c>
      <c r="C76" s="3" t="str">
        <v>Special Devices 89-93</v>
      </c>
      <c r="D76" s="3" t="str">
        <v>Special devices for 5 remaining strings from DESY/Germany/Sweden (6 WOMs,  3 Abalone Hubs or WOM Traps)  no spares - Do Not Deep Freeze</v>
      </c>
      <c r="E76" s="23">
        <v>32</v>
      </c>
      <c r="F76" s="23">
        <v>31</v>
      </c>
      <c r="G76" s="23">
        <v>89</v>
      </c>
      <c r="H76" s="23">
        <v>1</v>
      </c>
      <c r="I76" s="4">
        <v>51.092592592592595</v>
      </c>
      <c r="J76" s="4">
        <v>1035</v>
      </c>
      <c r="K76" s="4">
        <v>1035</v>
      </c>
      <c r="L76" s="445" t="str">
        <v>preliminary</v>
      </c>
      <c r="M76" s="38" t="str">
        <v>DNDF [-40C]</v>
      </c>
      <c r="N76" s="10" t="str">
        <v>Mainz</v>
      </c>
      <c r="O76" s="435">
        <v>213</v>
      </c>
      <c r="P76" s="428">
        <v>45292</v>
      </c>
      <c r="Q76" s="429" t="str">
        <v>DESY - CHC</v>
      </c>
      <c r="R76" s="428">
        <v>45505</v>
      </c>
      <c r="S76" s="431" t="str">
        <v>ComSur</v>
      </c>
      <c r="T76" s="431" t="str">
        <v>DESY-CHC</v>
      </c>
      <c r="U76" s="431" t="str">
        <v>-</v>
      </c>
      <c r="V76" s="433" t="str">
        <v>ComSur</v>
      </c>
      <c r="W76" s="433" t="str">
        <v>CHC - MCM</v>
      </c>
      <c r="X76" s="433" t="str">
        <v>-</v>
      </c>
      <c r="Y76" s="435" t="str">
        <v>USAP  Air</v>
      </c>
      <c r="Z76" s="434">
        <v>45597</v>
      </c>
      <c r="AA76" s="427" t="str">
        <v>-</v>
      </c>
      <c r="AB76" s="435" t="str">
        <v>LC-130</v>
      </c>
      <c r="AC76" s="409">
        <v>45621</v>
      </c>
      <c r="AD76" s="409" t="str">
        <v>Yes</v>
      </c>
      <c r="AE76" s="409" t="str">
        <v>FY25 inter</v>
      </c>
      <c r="AF76" s="409" t="str">
        <v>FY25 intra</v>
      </c>
      <c r="AG76" s="409" t="str">
        <v>S. Boeser</v>
      </c>
      <c r="AH76" s="409">
        <v>44482</v>
      </c>
      <c r="AI76" s="409" t="str">
        <v>D. Tosi</v>
      </c>
      <c r="AJ76" s="409">
        <v>44482</v>
      </c>
      <c r="AK76" s="409" t="str">
        <v>6 Special Devices from Germany 6 (WOM + 0 AH) including 0 spare for each. Assume 170 lbs crate.</v>
      </c>
      <c r="AL76" s="9" t="str">
        <v/>
      </c>
    </row>
    <row r="77" spans="1:40" ht="50.25" hidden="1" customHeight="1">
      <c r="A77" s="25">
        <v>1.5</v>
      </c>
      <c r="B77" s="48" t="str">
        <v>Installation</v>
      </c>
      <c r="C77" s="3" t="str">
        <v>Calibration Devices 89-93</v>
      </c>
      <c r="D77" s="3" t="str">
        <v>Calibration for 5 strings from DESY/Germany/Sweden (17+2 POCAMs, 7+ 1 Acoustic sensors,  3+ 1 Swedish Cameras) including spares - Do Not Deep Freeze</v>
      </c>
      <c r="E77" s="92">
        <v>62</v>
      </c>
      <c r="F77" s="92">
        <v>48</v>
      </c>
      <c r="G77" s="92">
        <v>44</v>
      </c>
      <c r="H77" s="23">
        <v>1</v>
      </c>
      <c r="I77" s="4">
        <v>75.777777777777771</v>
      </c>
      <c r="J77" s="4">
        <v>1694</v>
      </c>
      <c r="K77" s="4">
        <v>1694</v>
      </c>
      <c r="L77" s="445" t="str">
        <v>preliminary</v>
      </c>
      <c r="M77" s="6" t="str">
        <v>DNDF [-40C]</v>
      </c>
      <c r="N77" s="10" t="str">
        <v>TUM/Aachen/Sweden</v>
      </c>
      <c r="O77" s="435">
        <v>792</v>
      </c>
      <c r="P77" s="428">
        <v>44713</v>
      </c>
      <c r="Q77" s="429" t="str">
        <v>DESY - CHC</v>
      </c>
      <c r="R77" s="428">
        <v>45505</v>
      </c>
      <c r="S77" s="431" t="str">
        <v>ComSur</v>
      </c>
      <c r="T77" s="431" t="str">
        <v>DESY-CHC</v>
      </c>
      <c r="U77" s="431" t="str">
        <v>-</v>
      </c>
      <c r="V77" s="433" t="str">
        <v>ComSur</v>
      </c>
      <c r="W77" s="433" t="str">
        <v>CHC-MCM</v>
      </c>
      <c r="X77" s="433" t="str">
        <v>-</v>
      </c>
      <c r="Y77" s="435" t="str">
        <v>USAP  Air</v>
      </c>
      <c r="Z77" s="434">
        <v>45597</v>
      </c>
      <c r="AA77" s="427" t="str">
        <v>-</v>
      </c>
      <c r="AB77" s="435" t="str">
        <v>LC-130</v>
      </c>
      <c r="AC77" s="409">
        <v>45621</v>
      </c>
      <c r="AD77" s="409" t="str">
        <v>Yes</v>
      </c>
      <c r="AE77" s="409" t="str">
        <v>FY25 inter</v>
      </c>
      <c r="AF77" s="409" t="str">
        <v>FY25 intra</v>
      </c>
      <c r="AG77" s="409" t="str">
        <v>D. Williams</v>
      </c>
      <c r="AH77" s="409">
        <v>44482</v>
      </c>
      <c r="AI77" s="409" t="str">
        <v>D. Tosi</v>
      </c>
      <c r="AJ77" s="409">
        <v>44482</v>
      </c>
      <c r="AK77" s="409" t="str">
        <v>Calibration devices for strings 89-93 = 3+1 Sweden Camera,7+1 + Acoustic Module,17 +1 POCAM, including spares, 200 lbs crate</v>
      </c>
      <c r="AL77" s="9"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ht="5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98">
        <v>426</v>
      </c>
      <c r="P79" s="429">
        <v>44713</v>
      </c>
      <c r="Q79" s="429" t="str">
        <v>ChibaU - CHC</v>
      </c>
      <c r="R79" s="429">
        <v>45139</v>
      </c>
      <c r="S79" s="431" t="str">
        <v>Cargo shipment by CHU</v>
      </c>
      <c r="T79" s="431" t="str">
        <v>ChibaU - CHC</v>
      </c>
      <c r="U79" s="431" t="str">
        <v>-</v>
      </c>
      <c r="V79" s="433" t="str">
        <v>ComSur</v>
      </c>
      <c r="W79" s="76" t="str">
        <v>CHC - MCM</v>
      </c>
      <c r="X79" s="433" t="str">
        <v>-</v>
      </c>
      <c r="Y79" s="435" t="str">
        <v>USAP Air</v>
      </c>
      <c r="Z79" s="426">
        <v>45231</v>
      </c>
      <c r="AA79" s="427" t="str">
        <v>-</v>
      </c>
      <c r="AB79" s="435" t="str">
        <v>LC-130</v>
      </c>
      <c r="AC79" s="435">
        <v>45306</v>
      </c>
      <c r="AD79" s="409" t="str">
        <v>Yes</v>
      </c>
      <c r="AE79" s="409" t="str">
        <v>FY24 inter</v>
      </c>
      <c r="AF79" s="409" t="str">
        <v>FY24 intra</v>
      </c>
      <c r="AG79" s="435" t="str">
        <v>S. Yoshida</v>
      </c>
      <c r="AH79" s="435">
        <v>44461</v>
      </c>
      <c r="AI79" s="435" t="str">
        <v>D. Tosi</v>
      </c>
      <c r="AJ79" s="435">
        <v>44461</v>
      </c>
      <c r="AK79" s="409" t="str">
        <v>Pallet sizes are under review. shipped in 20 and 40ft container. Container weight not included in the assumption that pallet will be taken out in CHC.</v>
      </c>
      <c r="AL79" s="9" t="str">
        <v/>
      </c>
    </row>
    <row r="80" spans="1:40" ht="5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98">
        <v>426</v>
      </c>
      <c r="P80" s="429">
        <v>44713</v>
      </c>
      <c r="Q80" s="429" t="str">
        <v>ChibaU - CHC</v>
      </c>
      <c r="R80" s="429">
        <v>45139</v>
      </c>
      <c r="S80" s="431" t="str">
        <v>Cargo shipment by CHU</v>
      </c>
      <c r="T80" s="431" t="str">
        <v>ChibaU - CHC</v>
      </c>
      <c r="U80" s="431" t="str">
        <v>-</v>
      </c>
      <c r="V80" s="433" t="str">
        <v>ComSur</v>
      </c>
      <c r="W80" s="76" t="str">
        <v>CHC - MCM</v>
      </c>
      <c r="X80" s="433" t="str">
        <v>-</v>
      </c>
      <c r="Y80" s="435" t="str">
        <v>USAP Air</v>
      </c>
      <c r="Z80" s="426">
        <v>45231</v>
      </c>
      <c r="AA80" s="427" t="str">
        <v>-</v>
      </c>
      <c r="AB80" s="435" t="str">
        <v>LC-130</v>
      </c>
      <c r="AC80" s="435">
        <v>45306</v>
      </c>
      <c r="AD80" s="409" t="str">
        <v>Yes</v>
      </c>
      <c r="AE80" s="409" t="str">
        <v>FY24 inter</v>
      </c>
      <c r="AF80" s="409" t="str">
        <v>FY24 intra</v>
      </c>
      <c r="AG80" s="435" t="str">
        <v>S. Yoshida</v>
      </c>
      <c r="AH80" s="435">
        <v>44461</v>
      </c>
      <c r="AI80" s="435" t="str">
        <v>D. Tosi</v>
      </c>
      <c r="AJ80" s="435">
        <v>44461</v>
      </c>
      <c r="AK80" s="409" t="str">
        <v>Pallet sizes are under review. SPARES number to be confirmed.  shipped in 20 and 40ft container. Container weight not included in the assumption that pallet will be taken out in CHC.</v>
      </c>
      <c r="AL80" s="9" t="str">
        <v/>
      </c>
    </row>
    <row r="81" spans="1:40" ht="5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98">
        <v>426</v>
      </c>
      <c r="P81" s="429">
        <v>44713</v>
      </c>
      <c r="Q81" s="429" t="str">
        <v>ChibaU - CHC</v>
      </c>
      <c r="R81" s="429">
        <v>45139</v>
      </c>
      <c r="S81" s="431" t="str">
        <v>Cargo shipment by CHU</v>
      </c>
      <c r="T81" s="431" t="str">
        <v>ChibaU - CHC</v>
      </c>
      <c r="U81" s="431" t="str">
        <v>-</v>
      </c>
      <c r="V81" s="433" t="str">
        <v>ComSur</v>
      </c>
      <c r="W81" s="76" t="str">
        <v>CHC - MCM</v>
      </c>
      <c r="X81" s="433" t="str">
        <v>-</v>
      </c>
      <c r="Y81" s="435" t="str">
        <v>USAP Air</v>
      </c>
      <c r="Z81" s="426">
        <v>45231</v>
      </c>
      <c r="AA81" s="427" t="str">
        <v>-</v>
      </c>
      <c r="AB81" s="435" t="str">
        <v>LC-130</v>
      </c>
      <c r="AC81" s="435">
        <v>45306</v>
      </c>
      <c r="AD81" s="409" t="str">
        <v>Yes</v>
      </c>
      <c r="AE81" s="409" t="str">
        <v>FY24 inter</v>
      </c>
      <c r="AF81" s="409" t="str">
        <v>FY24 intra</v>
      </c>
      <c r="AG81" s="435" t="str">
        <v>S. Yoshida</v>
      </c>
      <c r="AH81" s="435">
        <v>44461</v>
      </c>
      <c r="AI81" s="435" t="str">
        <v>D. Tosi</v>
      </c>
      <c r="AJ81" s="435">
        <v>44461</v>
      </c>
      <c r="AK81" s="409" t="str">
        <v>Pallet sizes are under review. shipped in 20 and 40ft container. Container weight not included in the assumption that pallet will be taken out in CHC.</v>
      </c>
      <c r="AL81" s="9" t="str">
        <v/>
      </c>
    </row>
    <row r="82" spans="1:40" ht="5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98">
        <v>426</v>
      </c>
      <c r="P82" s="429">
        <v>44713</v>
      </c>
      <c r="Q82" s="429" t="str">
        <v>ChibaU - CHC</v>
      </c>
      <c r="R82" s="429">
        <v>45139</v>
      </c>
      <c r="S82" s="431" t="str">
        <v>Cargo shipment by CHU</v>
      </c>
      <c r="T82" s="431" t="str">
        <v>ChibaU - CHC</v>
      </c>
      <c r="U82" s="431" t="str">
        <v>-</v>
      </c>
      <c r="V82" s="433" t="str">
        <v>ComSur</v>
      </c>
      <c r="W82" s="76" t="str">
        <v>CHC - MCM</v>
      </c>
      <c r="X82" s="433" t="str">
        <v>-</v>
      </c>
      <c r="Y82" s="435" t="str">
        <v>USAP Air</v>
      </c>
      <c r="Z82" s="426">
        <v>45231</v>
      </c>
      <c r="AA82" s="427" t="str">
        <v>-</v>
      </c>
      <c r="AB82" s="435" t="str">
        <v>LC-130</v>
      </c>
      <c r="AC82" s="435">
        <v>45306</v>
      </c>
      <c r="AD82" s="409" t="str">
        <v>Yes</v>
      </c>
      <c r="AE82" s="409" t="str">
        <v>FY24 inter</v>
      </c>
      <c r="AF82" s="409" t="str">
        <v>FY24 intra</v>
      </c>
      <c r="AG82" s="435" t="str">
        <v>S. Yoshida</v>
      </c>
      <c r="AH82" s="435">
        <v>44461</v>
      </c>
      <c r="AI82" s="435" t="str">
        <v>D. Tosi</v>
      </c>
      <c r="AJ82" s="435">
        <v>44461</v>
      </c>
      <c r="AK82" s="409" t="str">
        <v>Pallet sizes are under review. SPARES number to be confirmed. shipped in 20 and 40ft container. Container weight not included in the assumption that pallet will be taken out in CHC.</v>
      </c>
      <c r="AL82" s="9" t="str">
        <v/>
      </c>
    </row>
    <row r="83" spans="1:40" ht="51" hidden="1">
      <c r="A83" s="72">
        <v>1.3</v>
      </c>
      <c r="B83" s="48" t="str">
        <v>Installation</v>
      </c>
      <c r="C83" s="1" t="str">
        <v>String Sensors 89-93</v>
      </c>
      <c r="D83" s="1" t="str">
        <v>Sensors (D-Eggs) pallets with 8 sensors in McMurdo overwinter - Do Not Deep Freeze</v>
      </c>
      <c r="E83" s="38">
        <v>41</v>
      </c>
      <c r="F83" s="38">
        <v>41</v>
      </c>
      <c r="G83" s="38">
        <v>69</v>
      </c>
      <c r="H83" s="38">
        <v>10</v>
      </c>
      <c r="I83" s="4">
        <v>671.23263888888891</v>
      </c>
      <c r="J83" s="4">
        <v>750</v>
      </c>
      <c r="K83" s="4">
        <v>7500</v>
      </c>
      <c r="L83" s="445" t="str">
        <v>actual</v>
      </c>
      <c r="M83" s="6" t="str">
        <v>DNDF [-40C]</v>
      </c>
      <c r="N83" s="10" t="str">
        <v>Chiba</v>
      </c>
      <c r="O83" s="435">
        <v>61</v>
      </c>
      <c r="P83" s="428">
        <v>45078</v>
      </c>
      <c r="Q83" s="429" t="str">
        <v>ChibaU - CHC</v>
      </c>
      <c r="R83" s="428">
        <v>45139</v>
      </c>
      <c r="S83" s="431" t="str">
        <v>Cargo shipment by CHU</v>
      </c>
      <c r="T83" s="431" t="str">
        <v>ChibaU - CHC</v>
      </c>
      <c r="U83" s="431" t="str">
        <v>-</v>
      </c>
      <c r="V83" s="433" t="str">
        <v>ComSur</v>
      </c>
      <c r="W83" s="76" t="str">
        <v>CHC - MCM</v>
      </c>
      <c r="X83" s="433" t="str">
        <v>-</v>
      </c>
      <c r="Y83" s="435" t="str">
        <v>USAP Air</v>
      </c>
      <c r="Z83" s="434">
        <v>45597</v>
      </c>
      <c r="AA83" s="427" t="str">
        <v>-</v>
      </c>
      <c r="AB83" s="435" t="str">
        <v>LC-130</v>
      </c>
      <c r="AC83" s="409">
        <v>45621</v>
      </c>
      <c r="AD83" s="409" t="str">
        <v>Yes</v>
      </c>
      <c r="AE83" s="409" t="str">
        <v>FY25 inter</v>
      </c>
      <c r="AF83" s="409" t="str">
        <v>FY25 intra</v>
      </c>
      <c r="AG83" s="409" t="str">
        <v>S. Yoshida</v>
      </c>
      <c r="AH83" s="409">
        <v>44461</v>
      </c>
      <c r="AI83" s="409" t="str">
        <v>D. Tosi</v>
      </c>
      <c r="AJ83" s="409">
        <v>44461</v>
      </c>
      <c r="AK83" s="409" t="str">
        <v>Pallet sizes are under review. shipped in 20 and 40ft container. Container weight not included in the assumption that pallet will be taken out in CHC.</v>
      </c>
      <c r="AL83" s="9" t="str">
        <v/>
      </c>
    </row>
    <row r="84" spans="1:40" ht="51" hidden="1">
      <c r="A84" s="72">
        <v>1.3</v>
      </c>
      <c r="B84" s="48" t="str">
        <v>Installation</v>
      </c>
      <c r="C84" s="1" t="str">
        <v>String Sensors 89-93</v>
      </c>
      <c r="D84" s="1" t="str">
        <v>Sensors (D-Eggs) pallets with 12 sensors  in McMurdo overwinter - Do Not Deep Freeze</v>
      </c>
      <c r="E84" s="38">
        <v>60</v>
      </c>
      <c r="F84" s="38">
        <v>41</v>
      </c>
      <c r="G84" s="38">
        <v>69</v>
      </c>
      <c r="H84" s="38">
        <v>10</v>
      </c>
      <c r="I84" s="4">
        <v>982.29166666666674</v>
      </c>
      <c r="J84" s="4">
        <v>1102</v>
      </c>
      <c r="K84" s="4">
        <v>11020</v>
      </c>
      <c r="L84" s="445" t="str">
        <v>actual</v>
      </c>
      <c r="M84" s="6" t="str">
        <v>DNDF [-40C]</v>
      </c>
      <c r="N84" s="10" t="str">
        <v>Chiba</v>
      </c>
      <c r="O84" s="435">
        <v>61</v>
      </c>
      <c r="P84" s="428">
        <v>45078</v>
      </c>
      <c r="Q84" s="429" t="str">
        <v>ChibaU - CHC</v>
      </c>
      <c r="R84" s="428">
        <v>45139</v>
      </c>
      <c r="S84" s="431" t="str">
        <v>Cargo shipment by CHU</v>
      </c>
      <c r="T84" s="431" t="str">
        <v>ChibaU - CHC</v>
      </c>
      <c r="U84" s="431" t="str">
        <v>-</v>
      </c>
      <c r="V84" s="433" t="str">
        <v>ComSur</v>
      </c>
      <c r="W84" s="76" t="str">
        <v>CHC - MCM</v>
      </c>
      <c r="X84" s="433" t="str">
        <v>-</v>
      </c>
      <c r="Y84" s="435" t="str">
        <v>USAP Air</v>
      </c>
      <c r="Z84" s="434">
        <v>45597</v>
      </c>
      <c r="AA84" s="427" t="str">
        <v>-</v>
      </c>
      <c r="AB84" s="435" t="str">
        <v>LC-130</v>
      </c>
      <c r="AC84" s="409">
        <v>45621</v>
      </c>
      <c r="AD84" s="409" t="str">
        <v>Yes</v>
      </c>
      <c r="AE84" s="409" t="str">
        <v>FY25 inter</v>
      </c>
      <c r="AF84" s="409" t="str">
        <v>FY25 intra</v>
      </c>
      <c r="AG84" s="409" t="str">
        <v>S. Yoshida</v>
      </c>
      <c r="AH84" s="409">
        <v>44461</v>
      </c>
      <c r="AI84" s="409" t="str">
        <v>D. Tosi</v>
      </c>
      <c r="AJ84" s="409">
        <v>44461</v>
      </c>
      <c r="AK84" s="409" t="str">
        <v>Pallet sizes are under review. shipped in 20 and 40ft container. Container weight not included in the assumption that pallet will be taken out in CHC.</v>
      </c>
      <c r="AL84" s="9"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ht="17.100000000000001" hidden="1">
      <c r="A86" s="72">
        <v>1.2</v>
      </c>
      <c r="B86" s="48" t="str">
        <v>Fuel</v>
      </c>
      <c r="C86" s="1" t="str">
        <v>Field Season 1 Fuel</v>
      </c>
      <c r="D86" s="1" t="str">
        <v>Fuel to support FY23 field season - Base fuel</v>
      </c>
      <c r="E86" s="38" t="str">
        <v/>
      </c>
      <c r="F86" s="38" t="str">
        <v/>
      </c>
      <c r="G86" s="38" t="str">
        <v/>
      </c>
      <c r="H86" s="38">
        <v>3191</v>
      </c>
      <c r="I86" s="61">
        <v>426.57462315454006</v>
      </c>
      <c r="J86" s="61">
        <v>6.8</v>
      </c>
      <c r="K86" s="4">
        <v>21698.799999999999</v>
      </c>
      <c r="L86" s="103" t="str">
        <v>preliminary</v>
      </c>
      <c r="M86" s="40" t="str">
        <v/>
      </c>
      <c r="N86" s="10" t="str">
        <v/>
      </c>
      <c r="O86" s="435" t="str">
        <v/>
      </c>
      <c r="P86" s="428" t="str">
        <v>-</v>
      </c>
      <c r="Q86" s="429" t="str">
        <v>-</v>
      </c>
      <c r="R86" s="428" t="str">
        <v>-</v>
      </c>
      <c r="S86" s="431" t="str">
        <v>-</v>
      </c>
      <c r="T86" s="431" t="str">
        <v>-</v>
      </c>
      <c r="U86" s="431" t="str">
        <v>-</v>
      </c>
      <c r="V86" s="433" t="str">
        <v>-</v>
      </c>
      <c r="W86" s="76" t="str">
        <v>-</v>
      </c>
      <c r="X86" s="433" t="str">
        <v>-</v>
      </c>
      <c r="Y86" s="435" t="str">
        <v>-</v>
      </c>
      <c r="Z86" s="434">
        <v>44866</v>
      </c>
      <c r="AA86" s="427" t="str">
        <v>-</v>
      </c>
      <c r="AB86" s="435" t="str">
        <v>LC-130/SPoT</v>
      </c>
      <c r="AC86" s="409">
        <v>44896</v>
      </c>
      <c r="AD86" s="409" t="str">
        <v>Yes</v>
      </c>
      <c r="AE86" s="409" t="str">
        <v>FY23 inter</v>
      </c>
      <c r="AF86" s="409" t="str">
        <v>FY23 intra</v>
      </c>
      <c r="AG86" s="409" t="str">
        <v>T. Benson</v>
      </c>
      <c r="AH86" s="409">
        <v>44483</v>
      </c>
      <c r="AI86" s="409" t="str">
        <v>I. McEwen</v>
      </c>
      <c r="AJ86" s="409">
        <v>44483</v>
      </c>
      <c r="AK86" s="409" t="str">
        <v/>
      </c>
      <c r="AL86" s="9" t="str">
        <v/>
      </c>
    </row>
    <row r="87" spans="1:40" ht="17.100000000000001" hidden="1">
      <c r="A87" s="72">
        <v>1.2</v>
      </c>
      <c r="B87" s="48" t="str">
        <v/>
      </c>
      <c r="C87" s="1" t="str">
        <v>Field Season 1 Fuel Contingency</v>
      </c>
      <c r="D87" s="1" t="str">
        <v>Fuel to support FY23 field season - Contingency</v>
      </c>
      <c r="E87" s="38" t="str">
        <v/>
      </c>
      <c r="F87" s="38" t="str">
        <v/>
      </c>
      <c r="G87" s="38" t="str">
        <v/>
      </c>
      <c r="H87" s="4">
        <v>452</v>
      </c>
      <c r="I87" s="61">
        <v>60.423606915027293</v>
      </c>
      <c r="J87" s="61">
        <v>6.8</v>
      </c>
      <c r="K87" s="4">
        <v>3073.6</v>
      </c>
      <c r="L87" s="103" t="str">
        <v>preliminary</v>
      </c>
      <c r="M87" s="40" t="str">
        <v/>
      </c>
      <c r="N87" s="10" t="str">
        <v/>
      </c>
      <c r="O87" s="435" t="str">
        <v/>
      </c>
      <c r="P87" s="428" t="str">
        <v>-</v>
      </c>
      <c r="Q87" s="429" t="str">
        <v>-</v>
      </c>
      <c r="R87" s="428" t="str">
        <v>-</v>
      </c>
      <c r="S87" s="431" t="str">
        <v>-</v>
      </c>
      <c r="T87" s="431" t="str">
        <v>-</v>
      </c>
      <c r="U87" s="431" t="str">
        <v>-</v>
      </c>
      <c r="V87" s="433" t="str">
        <v>-</v>
      </c>
      <c r="W87" s="76" t="str">
        <v>-</v>
      </c>
      <c r="X87" s="433" t="str">
        <v>-</v>
      </c>
      <c r="Y87" s="435" t="str">
        <v>-</v>
      </c>
      <c r="Z87" s="434">
        <v>44866</v>
      </c>
      <c r="AA87" s="427" t="str">
        <v>-</v>
      </c>
      <c r="AB87" s="435" t="str">
        <v>LC-130/SPoT</v>
      </c>
      <c r="AC87" s="409">
        <v>44896</v>
      </c>
      <c r="AD87" s="409" t="str">
        <v>Yes</v>
      </c>
      <c r="AE87" s="409" t="str">
        <v>FY23 inter</v>
      </c>
      <c r="AF87" s="409" t="str">
        <v>FY23 intra</v>
      </c>
      <c r="AG87" s="409" t="str">
        <v>T. Benson</v>
      </c>
      <c r="AH87" s="409">
        <v>44483</v>
      </c>
      <c r="AI87" s="409" t="str">
        <v>I. McEwen</v>
      </c>
      <c r="AJ87" s="409">
        <v>44483</v>
      </c>
      <c r="AK87" s="409" t="str">
        <v/>
      </c>
      <c r="AL87" s="9" t="str">
        <v/>
      </c>
    </row>
    <row r="88" spans="1:40" ht="17.100000000000001">
      <c r="A88" s="72">
        <v>1.2</v>
      </c>
      <c r="B88" s="48" t="str">
        <v/>
      </c>
      <c r="C88" s="1" t="str">
        <v>Field Season 2 Fuel</v>
      </c>
      <c r="D88" s="1" t="str">
        <v>Fuel to support FY24 field season - Base fuel, firn drilling &amp; over winter heating</v>
      </c>
      <c r="E88" s="38" t="str">
        <v/>
      </c>
      <c r="F88" s="38" t="str">
        <v/>
      </c>
      <c r="G88" s="38" t="str">
        <v/>
      </c>
      <c r="H88" s="40">
        <v>18178</v>
      </c>
      <c r="I88" s="61">
        <v>2430.0449701357657</v>
      </c>
      <c r="J88" s="61">
        <v>6.8</v>
      </c>
      <c r="K88" s="4">
        <v>123610.4</v>
      </c>
      <c r="L88" s="103" t="str">
        <v>preliminary</v>
      </c>
      <c r="M88" s="40" t="str">
        <v/>
      </c>
      <c r="N88" s="10" t="str">
        <v/>
      </c>
      <c r="O88" s="498" t="str">
        <v/>
      </c>
      <c r="P88" s="429" t="str">
        <v>-</v>
      </c>
      <c r="Q88" s="429" t="str">
        <v>-</v>
      </c>
      <c r="R88" s="429" t="str">
        <v>-</v>
      </c>
      <c r="S88" s="431" t="str">
        <v>-</v>
      </c>
      <c r="T88" s="431" t="str">
        <v>-</v>
      </c>
      <c r="U88" s="431" t="str">
        <v>-</v>
      </c>
      <c r="V88" s="433" t="str">
        <v>-</v>
      </c>
      <c r="W88" s="76" t="str">
        <v>-</v>
      </c>
      <c r="X88" s="433" t="str">
        <v>-</v>
      </c>
      <c r="Y88" s="435" t="str">
        <v>-</v>
      </c>
      <c r="Z88" s="426">
        <v>45231</v>
      </c>
      <c r="AA88" s="427" t="str">
        <v>-</v>
      </c>
      <c r="AB88" s="435" t="str">
        <v>LC-130/SPoT</v>
      </c>
      <c r="AC88" s="435">
        <v>45261</v>
      </c>
      <c r="AD88" s="409" t="str">
        <v>Yes</v>
      </c>
      <c r="AE88" s="409" t="str">
        <v>FY24 inter</v>
      </c>
      <c r="AF88" s="409" t="str">
        <v>FY24 intra</v>
      </c>
      <c r="AG88" s="435" t="str">
        <v>T. Benson</v>
      </c>
      <c r="AH88" s="435">
        <v>44483</v>
      </c>
      <c r="AI88" s="435" t="str">
        <v>I. McEwen</v>
      </c>
      <c r="AJ88" s="435">
        <v>44483</v>
      </c>
      <c r="AK88" s="409" t="str">
        <v/>
      </c>
      <c r="AL88" s="9" t="str">
        <v/>
      </c>
    </row>
    <row r="89" spans="1:40" ht="17.100000000000001">
      <c r="A89" s="72">
        <v>1.2</v>
      </c>
      <c r="B89" s="48" t="str">
        <v/>
      </c>
      <c r="C89" s="1" t="str">
        <v>Field Season 2 Fuel Contingency</v>
      </c>
      <c r="D89" s="1" t="str">
        <v>Fuel to suppport FY24 field season - Contingency</v>
      </c>
      <c r="E89" s="38" t="str">
        <v/>
      </c>
      <c r="F89" s="38" t="str">
        <v/>
      </c>
      <c r="G89" s="38" t="str">
        <v/>
      </c>
      <c r="H89" s="40">
        <v>2373</v>
      </c>
      <c r="I89" s="61">
        <v>317.22393630389331</v>
      </c>
      <c r="J89" s="61">
        <v>6.8</v>
      </c>
      <c r="K89" s="4">
        <v>16136.4</v>
      </c>
      <c r="L89" s="103" t="str">
        <v>preliminary</v>
      </c>
      <c r="M89" s="40" t="str">
        <v/>
      </c>
      <c r="N89" s="10" t="str">
        <v/>
      </c>
      <c r="O89" s="498" t="str">
        <v/>
      </c>
      <c r="P89" s="429" t="str">
        <v>-</v>
      </c>
      <c r="Q89" s="429" t="str">
        <v>-</v>
      </c>
      <c r="R89" s="429" t="str">
        <v>-</v>
      </c>
      <c r="S89" s="431" t="str">
        <v>-</v>
      </c>
      <c r="T89" s="431" t="str">
        <v>-</v>
      </c>
      <c r="U89" s="431" t="str">
        <v>-</v>
      </c>
      <c r="V89" s="433" t="str">
        <v>-</v>
      </c>
      <c r="W89" s="76" t="str">
        <v>-</v>
      </c>
      <c r="X89" s="433" t="str">
        <v>-</v>
      </c>
      <c r="Y89" s="435" t="str">
        <v>-</v>
      </c>
      <c r="Z89" s="426">
        <v>45231</v>
      </c>
      <c r="AA89" s="427" t="str">
        <v>-</v>
      </c>
      <c r="AB89" s="435" t="str">
        <v>LC-130/SPoT</v>
      </c>
      <c r="AC89" s="435">
        <v>45261</v>
      </c>
      <c r="AD89" s="409" t="str">
        <v>Yes</v>
      </c>
      <c r="AE89" s="409" t="str">
        <v>FY24 inter</v>
      </c>
      <c r="AF89" s="409" t="str">
        <v>FY24 intra</v>
      </c>
      <c r="AG89" s="435" t="str">
        <v>T. Benson</v>
      </c>
      <c r="AH89" s="435">
        <v>44483</v>
      </c>
      <c r="AI89" s="435" t="str">
        <v>I. McEwen</v>
      </c>
      <c r="AJ89" s="435">
        <v>44483</v>
      </c>
      <c r="AK89" s="409" t="str">
        <v/>
      </c>
      <c r="AL89" s="9" t="str">
        <v/>
      </c>
    </row>
    <row r="90" spans="1:40" ht="23.1" hidden="1" customHeight="1" thickTop="1">
      <c r="A90" s="25">
        <v>1.2</v>
      </c>
      <c r="B90" s="25" t="str">
        <v/>
      </c>
      <c r="C90" s="3" t="str">
        <v>Field Season 3 Fuel</v>
      </c>
      <c r="D90" s="42" t="str">
        <v>Fuel to support FY25 field season - Base fuel &amp; deep drilling</v>
      </c>
      <c r="E90" s="43" t="str">
        <v/>
      </c>
      <c r="F90" s="43" t="str">
        <v/>
      </c>
      <c r="G90" s="44" t="str">
        <v/>
      </c>
      <c r="H90" s="45">
        <v>62694</v>
      </c>
      <c r="I90" s="46">
        <v>8380.9681679883215</v>
      </c>
      <c r="J90" s="46">
        <v>6.8</v>
      </c>
      <c r="K90" s="46">
        <v>426319.2</v>
      </c>
      <c r="L90" s="104" t="str">
        <v>preliminary</v>
      </c>
      <c r="M90" s="46" t="str">
        <v/>
      </c>
      <c r="N90" s="427" t="str">
        <v/>
      </c>
      <c r="O90" s="435" t="str">
        <v/>
      </c>
      <c r="P90" s="427" t="str">
        <v>-</v>
      </c>
      <c r="Q90" s="435" t="str">
        <v>-</v>
      </c>
      <c r="R90" s="427" t="str">
        <v>-</v>
      </c>
      <c r="S90" s="427" t="str">
        <v>-</v>
      </c>
      <c r="T90" s="427" t="str">
        <v>-</v>
      </c>
      <c r="U90" s="427" t="str">
        <v>-</v>
      </c>
      <c r="V90" s="427" t="str">
        <v>-</v>
      </c>
      <c r="W90" s="427" t="str">
        <v>-</v>
      </c>
      <c r="X90" s="427" t="str">
        <v>-</v>
      </c>
      <c r="Y90" s="435" t="str">
        <v>-</v>
      </c>
      <c r="Z90" s="434">
        <v>45597</v>
      </c>
      <c r="AA90" s="427" t="str">
        <v>-</v>
      </c>
      <c r="AB90" s="435" t="str">
        <v>LC-130/SPoT</v>
      </c>
      <c r="AC90" s="427">
        <v>45627</v>
      </c>
      <c r="AD90" s="427" t="str">
        <v>Yes</v>
      </c>
      <c r="AE90" s="427" t="str">
        <v>FY25 inter</v>
      </c>
      <c r="AF90" s="427" t="str">
        <v>FY25 intra</v>
      </c>
      <c r="AG90" s="427" t="str">
        <v>T. Benson</v>
      </c>
      <c r="AH90" s="427">
        <v>44483</v>
      </c>
      <c r="AI90" s="427" t="str">
        <v>I. McEwen</v>
      </c>
      <c r="AJ90" s="427">
        <v>44483</v>
      </c>
      <c r="AK90" s="427" t="str">
        <v/>
      </c>
      <c r="AL90" s="9" t="str">
        <v/>
      </c>
    </row>
    <row r="91" spans="1:40" ht="17.100000000000001" hidden="1" thickTop="1">
      <c r="A91" s="2">
        <v>1.2</v>
      </c>
      <c r="B91" s="2" t="str">
        <v/>
      </c>
      <c r="C91" s="15" t="str">
        <v>Field Season 3 Fuel Contingency</v>
      </c>
      <c r="D91" s="15" t="str">
        <v>Fuel to suppport FY25 field season - Contingency</v>
      </c>
      <c r="E91" s="9" t="str">
        <v/>
      </c>
      <c r="F91" s="9" t="str">
        <v/>
      </c>
      <c r="G91" s="9" t="str">
        <v/>
      </c>
      <c r="H91" s="9">
        <v>8473</v>
      </c>
      <c r="I91" s="9">
        <v>1132.6752685642175</v>
      </c>
      <c r="J91" s="9">
        <v>6.8</v>
      </c>
      <c r="K91" s="9">
        <v>57616.4</v>
      </c>
      <c r="L91" s="74" t="str">
        <v>preliminary</v>
      </c>
      <c r="M91" s="9" t="str">
        <v/>
      </c>
      <c r="N91" s="9" t="str">
        <v/>
      </c>
      <c r="O91" s="80" t="str">
        <v/>
      </c>
      <c r="P91" s="9" t="str">
        <v>-</v>
      </c>
      <c r="Q91" s="80" t="str">
        <v>-</v>
      </c>
      <c r="R91" s="9" t="str">
        <v>-</v>
      </c>
      <c r="S91" s="9" t="str">
        <v>-</v>
      </c>
      <c r="T91" s="9" t="str">
        <v>-</v>
      </c>
      <c r="U91" s="9" t="str">
        <v>-</v>
      </c>
      <c r="V91" s="9" t="str">
        <v>-</v>
      </c>
      <c r="W91" s="9" t="str">
        <v>-</v>
      </c>
      <c r="X91" s="9" t="str">
        <v>-</v>
      </c>
      <c r="Y91" s="80" t="str">
        <v>-</v>
      </c>
      <c r="Z91" s="9">
        <v>45597</v>
      </c>
      <c r="AA91" s="9" t="str">
        <v>-</v>
      </c>
      <c r="AB91" s="80" t="str">
        <v>LC-130/SPoT</v>
      </c>
      <c r="AC91" s="9">
        <v>45627</v>
      </c>
      <c r="AD91" s="9" t="str">
        <v>Yes</v>
      </c>
      <c r="AE91" s="9" t="str">
        <v>FY25 inter</v>
      </c>
      <c r="AF91" s="9" t="str">
        <v>FY25 intra</v>
      </c>
      <c r="AG91" s="9" t="str">
        <v>T. Benson</v>
      </c>
      <c r="AH91" s="9">
        <v>44483</v>
      </c>
      <c r="AI91" s="9" t="str">
        <v>I. McEwen</v>
      </c>
      <c r="AJ91" s="9">
        <v>44483</v>
      </c>
      <c r="AK91" s="9" t="str">
        <v/>
      </c>
      <c r="AL91" s="9" t="str">
        <v/>
      </c>
    </row>
    <row r="92" spans="1:40" ht="17.100000000000001" hidden="1" thickTop="1">
      <c r="A92" s="9" t="str">
        <v/>
      </c>
      <c r="B92" s="9" t="str">
        <v/>
      </c>
      <c r="C92" s="16" t="str">
        <v>Fuel Totals:</v>
      </c>
      <c r="D92" s="16" t="str">
        <v/>
      </c>
      <c r="E92" s="9" t="str">
        <v/>
      </c>
      <c r="F92" s="9" t="str">
        <v/>
      </c>
      <c r="G92" s="9" t="str">
        <v>TEU=&gt;</v>
      </c>
      <c r="H92" s="9">
        <v>13.39066236666152</v>
      </c>
      <c r="I92" s="9">
        <v>12747.910573061765</v>
      </c>
      <c r="J92" s="9" t="str">
        <v/>
      </c>
      <c r="K92" s="9">
        <v>648454.80000000005</v>
      </c>
      <c r="L92" s="74" t="str">
        <v/>
      </c>
      <c r="M92" s="9" t="str">
        <v/>
      </c>
      <c r="N92" s="9" t="str">
        <v/>
      </c>
      <c r="O92" s="80" t="str">
        <v/>
      </c>
      <c r="P92" s="9" t="str">
        <v/>
      </c>
      <c r="Q92" s="80" t="str">
        <v/>
      </c>
      <c r="R92" s="9" t="str">
        <v/>
      </c>
      <c r="S92" s="9" t="str">
        <v/>
      </c>
      <c r="T92" s="9" t="str">
        <v/>
      </c>
      <c r="U92" s="9" t="str">
        <v/>
      </c>
      <c r="V92" s="9" t="str">
        <v/>
      </c>
      <c r="W92" s="9" t="str">
        <v/>
      </c>
      <c r="X92" s="9" t="str">
        <v/>
      </c>
      <c r="Y92" s="80" t="str">
        <v/>
      </c>
      <c r="Z92" s="9" t="str">
        <v/>
      </c>
      <c r="AA92" s="9" t="str">
        <v/>
      </c>
      <c r="AB92" s="80" t="str">
        <v/>
      </c>
      <c r="AC92" s="9" t="str">
        <v/>
      </c>
      <c r="AD92" s="9" t="str">
        <v/>
      </c>
      <c r="AE92" s="9" t="str">
        <v/>
      </c>
      <c r="AF92" s="9" t="str">
        <v/>
      </c>
      <c r="AG92" s="9" t="str">
        <v/>
      </c>
      <c r="AH92" s="9" t="str">
        <v/>
      </c>
      <c r="AI92" s="9" t="str">
        <v/>
      </c>
      <c r="AJ92" s="9" t="str">
        <v/>
      </c>
      <c r="AK92" s="9" t="str">
        <v/>
      </c>
      <c r="AL92" s="9" t="str">
        <v/>
      </c>
    </row>
    <row r="93" spans="1:40" ht="17.100000000000001" hidden="1" thickTop="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6"/>
      <c r="D94" s="16"/>
      <c r="Z94" s="80"/>
    </row>
    <row r="95" spans="1:40">
      <c r="C95" s="16"/>
      <c r="D95" s="16"/>
      <c r="Z95" s="80"/>
    </row>
    <row r="96" spans="1:40">
      <c r="C96" s="16"/>
      <c r="D96" s="16"/>
      <c r="Z96" s="80"/>
    </row>
    <row r="97" spans="1:26">
      <c r="C97" s="16"/>
      <c r="D97" s="16"/>
      <c r="Z97" s="80"/>
    </row>
    <row r="98" spans="1:26">
      <c r="C98" s="16"/>
      <c r="D98" s="16"/>
      <c r="Z98" s="80"/>
    </row>
    <row r="99" spans="1:26">
      <c r="C99" s="16"/>
      <c r="D99" s="16"/>
      <c r="Z99" s="80"/>
    </row>
    <row r="100" spans="1:26">
      <c r="C100" s="16"/>
      <c r="D100" s="16"/>
      <c r="Z100" s="80"/>
    </row>
    <row r="101" spans="1:26">
      <c r="C101" s="16"/>
      <c r="D101" s="16"/>
      <c r="Z101" s="80"/>
    </row>
    <row r="102" spans="1:26">
      <c r="A102" s="2"/>
      <c r="B102" s="2"/>
      <c r="C102" s="16"/>
      <c r="D102" s="16"/>
      <c r="I102" s="75"/>
      <c r="J102" s="75"/>
      <c r="K102" s="75"/>
      <c r="L102" s="105"/>
      <c r="Z102" s="80"/>
    </row>
    <row r="103" spans="1:26">
      <c r="A103" s="2"/>
      <c r="B103" s="2"/>
      <c r="C103" s="16"/>
      <c r="D103" s="16"/>
      <c r="Z103" s="80"/>
    </row>
    <row r="104" spans="1:26">
      <c r="Z104" s="80"/>
    </row>
    <row r="105" spans="1:26">
      <c r="C105" s="16"/>
      <c r="D105" s="16"/>
      <c r="Z105" s="80"/>
    </row>
    <row r="106" spans="1:26">
      <c r="C106" s="16"/>
      <c r="D106" s="16"/>
      <c r="Z106" s="80"/>
    </row>
    <row r="107" spans="1:26">
      <c r="C107" s="16"/>
      <c r="D107" s="16"/>
      <c r="Z107" s="80"/>
    </row>
    <row r="108" spans="1:26">
      <c r="Z108" s="80"/>
    </row>
    <row r="109" spans="1:26">
      <c r="C109" s="16"/>
      <c r="D109" s="16"/>
      <c r="Z109" s="80"/>
    </row>
    <row r="110" spans="1:26">
      <c r="C110" s="16"/>
      <c r="D110" s="16"/>
      <c r="Z110" s="80"/>
    </row>
    <row r="111" spans="1:26">
      <c r="Z111" s="80"/>
    </row>
    <row r="112" spans="1:26">
      <c r="L112" s="106"/>
      <c r="Z112" s="80"/>
    </row>
    <row r="113" spans="1:26">
      <c r="D113" s="73"/>
      <c r="Z113" s="80"/>
    </row>
    <row r="114" spans="1:26" ht="15.95" thickBot="1">
      <c r="D114" s="73"/>
      <c r="Z114" s="80"/>
    </row>
    <row r="115" spans="1:26" ht="15.95" customHeight="1">
      <c r="A115" s="416"/>
      <c r="B115" s="417"/>
      <c r="C115" s="81" t="s">
        <v>475</v>
      </c>
      <c r="D115" s="82" t="s">
        <v>476</v>
      </c>
      <c r="Z115" s="80"/>
    </row>
    <row r="116" spans="1:26" ht="32.1" customHeight="1">
      <c r="A116" s="414" t="s">
        <v>477</v>
      </c>
      <c r="B116" s="415"/>
      <c r="C116" s="84">
        <f>SUBTOTAL(9,I2:I100)</f>
        <v>23198.708142550771</v>
      </c>
      <c r="D116" s="85">
        <f>SUBTOTAL(9,K2:K100)</f>
        <v>359359.80000000005</v>
      </c>
      <c r="E116" s="90"/>
      <c r="Z116" s="80"/>
    </row>
    <row r="117" spans="1:26" ht="33" customHeight="1" thickBot="1">
      <c r="A117" s="412" t="s">
        <v>478</v>
      </c>
      <c r="B117" s="413"/>
      <c r="C117" s="86">
        <f>SUMIFS(volume,pole_date,"&gt;="&amp;$A$120,pole_date,"&lt;="&amp;$B$120)</f>
        <v>23198.708142550771</v>
      </c>
      <c r="D117" s="87">
        <f>SUMIFS(weight_,pole_date,"&gt;="&amp;A$120,pole_date,"&lt;="&amp;$B$120)</f>
        <v>359359.80000000005</v>
      </c>
      <c r="J117" s="90"/>
      <c r="U117" s="90"/>
      <c r="Z117" s="80"/>
    </row>
    <row r="118" spans="1:26" ht="15.95" thickBot="1">
      <c r="D118" s="73"/>
      <c r="Z118" s="80"/>
    </row>
    <row r="119" spans="1:26" ht="15.95">
      <c r="A119" s="111" t="s">
        <v>479</v>
      </c>
      <c r="B119" s="81" t="s">
        <v>480</v>
      </c>
      <c r="C119" s="81"/>
      <c r="D119" s="82"/>
      <c r="Z119" s="80"/>
    </row>
    <row r="120" spans="1:26">
      <c r="A120" s="109">
        <f>'ICU_cargo MASTER INPUT SHEET'!A129</f>
        <v>45231</v>
      </c>
      <c r="B120" s="110">
        <f>'ICU_cargo MASTER INPUT SHEET'!B129</f>
        <v>45337</v>
      </c>
      <c r="D120" s="85"/>
      <c r="Z120" s="80"/>
    </row>
    <row r="121" spans="1:26" ht="15.95" thickBot="1">
      <c r="A121" s="412"/>
      <c r="B121" s="413"/>
      <c r="C121" s="86"/>
      <c r="D121" s="87"/>
      <c r="Z121" s="80"/>
    </row>
    <row r="122" spans="1:26">
      <c r="Z122" s="80"/>
    </row>
    <row r="123" spans="1:26">
      <c r="Z123" s="80"/>
    </row>
    <row r="124" spans="1:26" ht="15.95">
      <c r="A124" s="102"/>
      <c r="B124" s="102"/>
      <c r="C124" s="101"/>
      <c r="D124" s="101"/>
      <c r="Z124" s="80"/>
    </row>
    <row r="125" spans="1:26" ht="15.95">
      <c r="A125" s="102"/>
      <c r="B125" s="102"/>
      <c r="C125" s="101"/>
      <c r="D125" s="101"/>
      <c r="Z125" s="80"/>
    </row>
    <row r="126" spans="1:26" ht="15.95">
      <c r="A126" s="102"/>
      <c r="B126" s="102"/>
      <c r="C126" s="101"/>
      <c r="D126" s="101"/>
      <c r="Z126" s="80"/>
    </row>
    <row r="127" spans="1:26" ht="15.95">
      <c r="A127" s="102"/>
      <c r="B127" s="102"/>
      <c r="C127" s="101"/>
      <c r="D127" s="101"/>
      <c r="Z127" s="80"/>
    </row>
    <row r="128" spans="1:26">
      <c r="Z128" s="80"/>
    </row>
    <row r="129" spans="26:26">
      <c r="Z129" s="80"/>
    </row>
    <row r="130" spans="26:26">
      <c r="Z130" s="80"/>
    </row>
    <row r="131" spans="26:26">
      <c r="Z131" s="80"/>
    </row>
    <row r="132" spans="26:26">
      <c r="Z132" s="80"/>
    </row>
    <row r="133" spans="26:26">
      <c r="Z133" s="80"/>
    </row>
    <row r="134" spans="26:26">
      <c r="Z134" s="80"/>
    </row>
    <row r="135" spans="26:26">
      <c r="Z135" s="80"/>
    </row>
    <row r="136" spans="26:26">
      <c r="Z136" s="80"/>
    </row>
    <row r="137" spans="26:26">
      <c r="Z137" s="80"/>
    </row>
    <row r="138" spans="26:26">
      <c r="Z138" s="80"/>
    </row>
    <row r="139" spans="26:26">
      <c r="Z139" s="80"/>
    </row>
    <row r="140" spans="26:26">
      <c r="Z140" s="80"/>
    </row>
    <row r="141" spans="26:26">
      <c r="Z141" s="80"/>
    </row>
    <row r="142" spans="26:26">
      <c r="Z142" s="80"/>
    </row>
    <row r="143" spans="26:26">
      <c r="Z143" s="80"/>
    </row>
    <row r="144" spans="26:26">
      <c r="Z144" s="80"/>
    </row>
    <row r="145" spans="26:26">
      <c r="Z145" s="80"/>
    </row>
    <row r="146" spans="26:26">
      <c r="Z146" s="80"/>
    </row>
    <row r="147" spans="26:26">
      <c r="Z147" s="80"/>
    </row>
    <row r="148" spans="26:26">
      <c r="Z148" s="80"/>
    </row>
    <row r="149" spans="26:26">
      <c r="Z149" s="80"/>
    </row>
    <row r="150" spans="26:26">
      <c r="Z150" s="80"/>
    </row>
    <row r="151" spans="26:26">
      <c r="Z151" s="80"/>
    </row>
    <row r="152" spans="26:26">
      <c r="Z152" s="80"/>
    </row>
    <row r="153" spans="26:26">
      <c r="Z153" s="80"/>
    </row>
    <row r="154" spans="26:26">
      <c r="Z154" s="80"/>
    </row>
    <row r="155" spans="26:26">
      <c r="Z155" s="80"/>
    </row>
    <row r="156" spans="26:26">
      <c r="Z156" s="80"/>
    </row>
    <row r="157" spans="26:26">
      <c r="Z157" s="80"/>
    </row>
    <row r="158" spans="26:26">
      <c r="Z158" s="80"/>
    </row>
    <row r="159" spans="26:26">
      <c r="Z159" s="80"/>
    </row>
    <row r="160" spans="26:26">
      <c r="Z160" s="80"/>
    </row>
    <row r="161" spans="26:26">
      <c r="Z161" s="80"/>
    </row>
    <row r="162" spans="26:26">
      <c r="Z162" s="80"/>
    </row>
    <row r="163" spans="26:26">
      <c r="Z163" s="80"/>
    </row>
    <row r="164" spans="26:26">
      <c r="Z164" s="80"/>
    </row>
    <row r="165" spans="26:26">
      <c r="Z165" s="80"/>
    </row>
    <row r="166" spans="26:26">
      <c r="Z166" s="80"/>
    </row>
    <row r="167" spans="26:26">
      <c r="Z167" s="80"/>
    </row>
    <row r="168" spans="26:26">
      <c r="Z168" s="80"/>
    </row>
    <row r="169" spans="26:26">
      <c r="Z169" s="80"/>
    </row>
    <row r="170" spans="26:26">
      <c r="Z170" s="80"/>
    </row>
    <row r="171" spans="26:26">
      <c r="Z171" s="80"/>
    </row>
    <row r="172" spans="26:26">
      <c r="Z172" s="80"/>
    </row>
    <row r="173" spans="26:26">
      <c r="Z173" s="80"/>
    </row>
    <row r="174" spans="26:26">
      <c r="Z174" s="80"/>
    </row>
    <row r="175" spans="26:26">
      <c r="Z175" s="80"/>
    </row>
    <row r="176" spans="26:26">
      <c r="Z176" s="80"/>
    </row>
    <row r="177" spans="26:26">
      <c r="Z177" s="80"/>
    </row>
    <row r="178" spans="26:26">
      <c r="Z178" s="80"/>
    </row>
    <row r="179" spans="26:26">
      <c r="Z179" s="80"/>
    </row>
    <row r="180" spans="26:26">
      <c r="Z180" s="80"/>
    </row>
    <row r="181" spans="26:26">
      <c r="Z181" s="80"/>
    </row>
    <row r="182" spans="26:26">
      <c r="Z182" s="80"/>
    </row>
    <row r="183" spans="26:26">
      <c r="Z183" s="80"/>
    </row>
    <row r="184" spans="26:26">
      <c r="Z184" s="80"/>
    </row>
    <row r="185" spans="26:26">
      <c r="Z185" s="80"/>
    </row>
    <row r="186" spans="26:26">
      <c r="Z186" s="80"/>
    </row>
    <row r="187" spans="26:26">
      <c r="Z187" s="80"/>
    </row>
    <row r="188" spans="26:26">
      <c r="Z188" s="80"/>
    </row>
    <row r="189" spans="26:26">
      <c r="Z189" s="80"/>
    </row>
    <row r="190" spans="26:26">
      <c r="Z190" s="80"/>
    </row>
    <row r="191" spans="26:26">
      <c r="Z191" s="80"/>
    </row>
    <row r="192" spans="26:26">
      <c r="Z192" s="80"/>
    </row>
    <row r="193" spans="26:26">
      <c r="Z193" s="80"/>
    </row>
    <row r="194" spans="26:26">
      <c r="Z194" s="80"/>
    </row>
    <row r="195" spans="26:26">
      <c r="Z195" s="80"/>
    </row>
    <row r="196" spans="26:26">
      <c r="Z196" s="80"/>
    </row>
    <row r="197" spans="26:26">
      <c r="Z197" s="80"/>
    </row>
    <row r="198" spans="26:26">
      <c r="Z198" s="80"/>
    </row>
    <row r="199" spans="26:26">
      <c r="Z199" s="80"/>
    </row>
    <row r="200" spans="26:26">
      <c r="Z200" s="80"/>
    </row>
    <row r="201" spans="26:26">
      <c r="Z201" s="80"/>
    </row>
    <row r="202" spans="26:26">
      <c r="Z202" s="80"/>
    </row>
    <row r="203" spans="26:26">
      <c r="Z203" s="80"/>
    </row>
    <row r="204" spans="26:26">
      <c r="Z204" s="80"/>
    </row>
    <row r="205" spans="26:26">
      <c r="Z205" s="80"/>
    </row>
    <row r="206" spans="26:26">
      <c r="Z206" s="80"/>
    </row>
    <row r="207" spans="26:26">
      <c r="Z207" s="80"/>
    </row>
    <row r="208" spans="26:26">
      <c r="Z208" s="80"/>
    </row>
    <row r="209" spans="26:26">
      <c r="Z209" s="80"/>
    </row>
    <row r="210" spans="26:26">
      <c r="Z210" s="80"/>
    </row>
    <row r="211" spans="26:26">
      <c r="Z211" s="80"/>
    </row>
    <row r="212" spans="26:26">
      <c r="Z212" s="80"/>
    </row>
    <row r="213" spans="26:26">
      <c r="Z213" s="80"/>
    </row>
    <row r="214" spans="26:26">
      <c r="Z214" s="80"/>
    </row>
    <row r="215" spans="26:26">
      <c r="Z215" s="80"/>
    </row>
    <row r="216" spans="26:26">
      <c r="Z216" s="80"/>
    </row>
    <row r="217" spans="26:26">
      <c r="Z217" s="80"/>
    </row>
    <row r="218" spans="26:26">
      <c r="Z218" s="80"/>
    </row>
    <row r="219" spans="26:26">
      <c r="Z219" s="80"/>
    </row>
    <row r="220" spans="26:26">
      <c r="Z220" s="80"/>
    </row>
    <row r="221" spans="26:26">
      <c r="Z221" s="80"/>
    </row>
    <row r="222" spans="26:26">
      <c r="Z222" s="80"/>
    </row>
    <row r="223" spans="26:26">
      <c r="Z223" s="80"/>
    </row>
    <row r="224" spans="26:26">
      <c r="Z224" s="80"/>
    </row>
    <row r="225" spans="26:26">
      <c r="Z225" s="80"/>
    </row>
    <row r="226" spans="26:26">
      <c r="Z226" s="80"/>
    </row>
    <row r="227" spans="26:26">
      <c r="Z227" s="80"/>
    </row>
    <row r="228" spans="26:26">
      <c r="Z228" s="80"/>
    </row>
    <row r="229" spans="26:26">
      <c r="Z229" s="80"/>
    </row>
    <row r="230" spans="26:26">
      <c r="Z230" s="80"/>
    </row>
    <row r="231" spans="26:26">
      <c r="Z231" s="80"/>
    </row>
    <row r="232" spans="26:26">
      <c r="Z232" s="80"/>
    </row>
    <row r="233" spans="26:26">
      <c r="Z233" s="80"/>
    </row>
    <row r="234" spans="26:26">
      <c r="Z234" s="80"/>
    </row>
    <row r="235" spans="26:26">
      <c r="Z235" s="80"/>
    </row>
    <row r="236" spans="26:26">
      <c r="Z236" s="80"/>
    </row>
    <row r="237" spans="26:26">
      <c r="Z237" s="80"/>
    </row>
    <row r="238" spans="26:26">
      <c r="Z238" s="80"/>
    </row>
    <row r="239" spans="26:26">
      <c r="Z239" s="80"/>
    </row>
    <row r="240" spans="26:26">
      <c r="Z240" s="80"/>
    </row>
    <row r="241" spans="26:26">
      <c r="Z241" s="80"/>
    </row>
    <row r="242" spans="26:26">
      <c r="Z242" s="80"/>
    </row>
    <row r="243" spans="26:26">
      <c r="Z243" s="80"/>
    </row>
    <row r="244" spans="26:26">
      <c r="Z244" s="80"/>
    </row>
    <row r="245" spans="26:26">
      <c r="Z245" s="80"/>
    </row>
    <row r="246" spans="26:26">
      <c r="Z246" s="80"/>
    </row>
    <row r="247" spans="26:26">
      <c r="Z247" s="80"/>
    </row>
    <row r="248" spans="26:26">
      <c r="Z248" s="80"/>
    </row>
    <row r="249" spans="26:26">
      <c r="Z249" s="80"/>
    </row>
    <row r="250" spans="26:26">
      <c r="Z250" s="80"/>
    </row>
    <row r="251" spans="26:26">
      <c r="Z251" s="80"/>
    </row>
    <row r="252" spans="26:26">
      <c r="Z252" s="80"/>
    </row>
    <row r="253" spans="26:26">
      <c r="Z253" s="80"/>
    </row>
    <row r="254" spans="26:26">
      <c r="Z254" s="80"/>
    </row>
    <row r="255" spans="26:26">
      <c r="Z255" s="80"/>
    </row>
    <row r="256" spans="26:26">
      <c r="Z256" s="80"/>
    </row>
    <row r="257" spans="26:26">
      <c r="Z257" s="80"/>
    </row>
    <row r="258" spans="26:26">
      <c r="Z258" s="80"/>
    </row>
    <row r="259" spans="26:26">
      <c r="Z259" s="80"/>
    </row>
    <row r="260" spans="26:26">
      <c r="Z260" s="80"/>
    </row>
    <row r="261" spans="26:26">
      <c r="Z261" s="80"/>
    </row>
    <row r="262" spans="26:26">
      <c r="Z262" s="80"/>
    </row>
    <row r="263" spans="26:26">
      <c r="Z263" s="80"/>
    </row>
    <row r="264" spans="26:26">
      <c r="Z264" s="80"/>
    </row>
    <row r="265" spans="26:26">
      <c r="Z265" s="80"/>
    </row>
    <row r="266" spans="26:26">
      <c r="Z266" s="80"/>
    </row>
    <row r="267" spans="26:26">
      <c r="Z267" s="80"/>
    </row>
    <row r="268" spans="26:26">
      <c r="Z268" s="80"/>
    </row>
    <row r="269" spans="26:26">
      <c r="Z269" s="80"/>
    </row>
    <row r="270" spans="26:26">
      <c r="Z270" s="80"/>
    </row>
    <row r="271" spans="26:26">
      <c r="Z271" s="80"/>
    </row>
    <row r="272" spans="26:26">
      <c r="Z272" s="80"/>
    </row>
    <row r="273" spans="26:26">
      <c r="Z273" s="80"/>
    </row>
    <row r="274" spans="26:26">
      <c r="Z274" s="80"/>
    </row>
    <row r="275" spans="26:26">
      <c r="Z275" s="80"/>
    </row>
    <row r="276" spans="26:26">
      <c r="Z276" s="80"/>
    </row>
    <row r="277" spans="26:26">
      <c r="Z277" s="80"/>
    </row>
    <row r="278" spans="26:26">
      <c r="Z278" s="80"/>
    </row>
    <row r="279" spans="26:26">
      <c r="Z279" s="80"/>
    </row>
    <row r="280" spans="26:26">
      <c r="Z280" s="80"/>
    </row>
    <row r="281" spans="26:26">
      <c r="Z281" s="80"/>
    </row>
    <row r="282" spans="26:26">
      <c r="Z282" s="80"/>
    </row>
    <row r="283" spans="26:26">
      <c r="Z283" s="80"/>
    </row>
    <row r="284" spans="26:26">
      <c r="Z284" s="80"/>
    </row>
    <row r="285" spans="26:26">
      <c r="Z285" s="80"/>
    </row>
    <row r="286" spans="26:26">
      <c r="Z286" s="80"/>
    </row>
    <row r="287" spans="26:26">
      <c r="Z287" s="80"/>
    </row>
    <row r="288" spans="26:26">
      <c r="Z288" s="80"/>
    </row>
    <row r="289" spans="26:26">
      <c r="Z289" s="80"/>
    </row>
    <row r="290" spans="26:26">
      <c r="Z290" s="80"/>
    </row>
    <row r="291" spans="26:26">
      <c r="Z291" s="80"/>
    </row>
    <row r="292" spans="26:26">
      <c r="Z292" s="80"/>
    </row>
    <row r="293" spans="26:26">
      <c r="Z293" s="80"/>
    </row>
    <row r="294" spans="26:26">
      <c r="Z294" s="80"/>
    </row>
    <row r="295" spans="26:26">
      <c r="Z295" s="80"/>
    </row>
    <row r="296" spans="26:26">
      <c r="Z296" s="80"/>
    </row>
    <row r="297" spans="26:26">
      <c r="Z297" s="80"/>
    </row>
    <row r="298" spans="26:26">
      <c r="Z298" s="80"/>
    </row>
    <row r="299" spans="26:26">
      <c r="Z299" s="80"/>
    </row>
    <row r="300" spans="26:26">
      <c r="Z300" s="80"/>
    </row>
    <row r="301" spans="26:26">
      <c r="Z301" s="80"/>
    </row>
    <row r="302" spans="26:26">
      <c r="Z302" s="80"/>
    </row>
    <row r="303" spans="26:26">
      <c r="Z303" s="80"/>
    </row>
    <row r="304" spans="26:26">
      <c r="Z304" s="80"/>
    </row>
    <row r="305" spans="26:26">
      <c r="Z305" s="80"/>
    </row>
    <row r="306" spans="26:26">
      <c r="Z306" s="80"/>
    </row>
    <row r="307" spans="26:26">
      <c r="Z307" s="80"/>
    </row>
    <row r="308" spans="26:26">
      <c r="Z308" s="80"/>
    </row>
    <row r="309" spans="26:26">
      <c r="Z309" s="80"/>
    </row>
    <row r="310" spans="26:26">
      <c r="Z310" s="80"/>
    </row>
    <row r="311" spans="26:26">
      <c r="Z311" s="80"/>
    </row>
    <row r="312" spans="26:26">
      <c r="Z312" s="80"/>
    </row>
    <row r="313" spans="26:26">
      <c r="Z313" s="80"/>
    </row>
    <row r="314" spans="26:26">
      <c r="Z314" s="80"/>
    </row>
    <row r="315" spans="26:26">
      <c r="Z315" s="80"/>
    </row>
    <row r="316" spans="26:26">
      <c r="Z316" s="80"/>
    </row>
    <row r="317" spans="26:26">
      <c r="Z317" s="80"/>
    </row>
    <row r="318" spans="26:26">
      <c r="Z318" s="80"/>
    </row>
    <row r="319" spans="26:26">
      <c r="Z319" s="80"/>
    </row>
    <row r="320" spans="26:26">
      <c r="Z320" s="80"/>
    </row>
    <row r="321" spans="26:26">
      <c r="Z321" s="80"/>
    </row>
    <row r="322" spans="26:26">
      <c r="Z322" s="80"/>
    </row>
    <row r="323" spans="26:26">
      <c r="Z323" s="80"/>
    </row>
    <row r="324" spans="26:26">
      <c r="Z324" s="80"/>
    </row>
    <row r="325" spans="26:26">
      <c r="Z325" s="80"/>
    </row>
    <row r="326" spans="26:26">
      <c r="Z326" s="80"/>
    </row>
    <row r="327" spans="26:26">
      <c r="Z327" s="80"/>
    </row>
    <row r="328" spans="26:26">
      <c r="Z328" s="80"/>
    </row>
    <row r="329" spans="26:26">
      <c r="Z329" s="80"/>
    </row>
    <row r="330" spans="26:26">
      <c r="Z330" s="80"/>
    </row>
    <row r="331" spans="26:26">
      <c r="Z331" s="80"/>
    </row>
    <row r="332" spans="26:26">
      <c r="Z332" s="80"/>
    </row>
    <row r="333" spans="26:26">
      <c r="Z333" s="80"/>
    </row>
    <row r="334" spans="26:26">
      <c r="Z334" s="80"/>
    </row>
    <row r="335" spans="26:26">
      <c r="Z335" s="80"/>
    </row>
    <row r="336" spans="26:26">
      <c r="Z336" s="80"/>
    </row>
    <row r="337" spans="26:26">
      <c r="Z337" s="80"/>
    </row>
    <row r="338" spans="26:26">
      <c r="Z338" s="80"/>
    </row>
    <row r="339" spans="26:26">
      <c r="Z339" s="80"/>
    </row>
    <row r="340" spans="26:26">
      <c r="Z340" s="80"/>
    </row>
    <row r="341" spans="26:26">
      <c r="Z341" s="80"/>
    </row>
    <row r="342" spans="26:26">
      <c r="Z342" s="80"/>
    </row>
    <row r="343" spans="26:26">
      <c r="Z343" s="80"/>
    </row>
    <row r="344" spans="26:26">
      <c r="Z344" s="80"/>
    </row>
    <row r="345" spans="26:26">
      <c r="Z345" s="80"/>
    </row>
    <row r="346" spans="26:26">
      <c r="Z346" s="80"/>
    </row>
    <row r="347" spans="26:26">
      <c r="Z347" s="80"/>
    </row>
    <row r="348" spans="26:26">
      <c r="Z348" s="80"/>
    </row>
    <row r="349" spans="26:26">
      <c r="Z349" s="80"/>
    </row>
    <row r="350" spans="26:26">
      <c r="Z350" s="80"/>
    </row>
    <row r="351" spans="26:26">
      <c r="Z351" s="80"/>
    </row>
    <row r="352" spans="26:26">
      <c r="Z352" s="80"/>
    </row>
    <row r="353" spans="26:26">
      <c r="Z353" s="80"/>
    </row>
  </sheetData>
  <sheetProtection sheet="1" objects="1" scenarios="1" formatCells="0" formatColumns="0" formatRows="0" sort="0" autoFilter="0"/>
  <autoFilter ref="A1:AN93" xr:uid="{D1399380-9998-8C46-93D6-87C9D585DA1A}">
    <filterColumn colId="27">
      <filters>
        <dateGroupItem year="2024" month="1" dateTimeGrouping="month"/>
        <dateGroupItem year="2024" month="2" dateTimeGrouping="month"/>
        <dateGroupItem year="2023" month="11" dateTimeGrouping="month"/>
        <dateGroupItem year="2023" month="12" dateTimeGrouping="month"/>
      </filters>
    </filterColumn>
  </autoFilter>
  <mergeCells count="4">
    <mergeCell ref="A121:B121"/>
    <mergeCell ref="A115:B115"/>
    <mergeCell ref="A116:B116"/>
    <mergeCell ref="A117:B117"/>
  </mergeCells>
  <conditionalFormatting sqref="D116">
    <cfRule type="cellIs" dxfId="14" priority="4" operator="equal">
      <formula>$D$117</formula>
    </cfRule>
  </conditionalFormatting>
  <conditionalFormatting sqref="D117">
    <cfRule type="cellIs" dxfId="13" priority="3" operator="equal">
      <formula>$D$116</formula>
    </cfRule>
  </conditionalFormatting>
  <conditionalFormatting sqref="C116">
    <cfRule type="cellIs" dxfId="12" priority="2" operator="equal">
      <formula>$C$117</formula>
    </cfRule>
  </conditionalFormatting>
  <conditionalFormatting sqref="C117">
    <cfRule type="cellIs" dxfId="11" priority="1" operator="equal">
      <formula>$C$116</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4474E-C54B-E045-A904-728879A1E0B1}">
  <sheetPr filterMode="1"/>
  <dimension ref="A1:AN263"/>
  <sheetViews>
    <sheetView topLeftCell="Z84" workbookViewId="0">
      <selection activeCell="O1" sqref="O1:O1048576"/>
    </sheetView>
  </sheetViews>
  <sheetFormatPr defaultColWidth="9.140625" defaultRowHeight="15"/>
  <cols>
    <col min="1" max="2" width="12.85546875" style="146" customWidth="1"/>
    <col min="3" max="3" width="32.85546875" style="190" customWidth="1"/>
    <col min="4" max="4" width="73.7109375" style="190" customWidth="1"/>
    <col min="5" max="7" width="12" style="146" customWidth="1"/>
    <col min="8" max="8" width="10.140625" style="146" customWidth="1"/>
    <col min="9" max="10" width="8.7109375" style="146" customWidth="1"/>
    <col min="11" max="11" width="10" style="146" customWidth="1"/>
    <col min="12" max="12" width="16.28515625" style="185" customWidth="1"/>
    <col min="13" max="13" width="12.7109375" style="146" customWidth="1"/>
    <col min="14" max="14" width="17.140625" style="146" customWidth="1"/>
    <col min="15" max="15" width="17.140625" style="408" customWidth="1"/>
    <col min="16" max="16" width="17.7109375" style="186" customWidth="1"/>
    <col min="17" max="18" width="16.7109375" style="186" customWidth="1"/>
    <col min="19" max="19" width="17.7109375" style="146" customWidth="1"/>
    <col min="20" max="21" width="16.7109375" style="146" customWidth="1"/>
    <col min="22" max="22" width="17.7109375" style="146" customWidth="1"/>
    <col min="23" max="24" width="16.7109375" style="146" customWidth="1"/>
    <col min="25" max="25" width="18.85546875" style="186" customWidth="1"/>
    <col min="26" max="26" width="19.7109375" style="384" customWidth="1"/>
    <col min="27" max="27" width="16.42578125" style="146" customWidth="1"/>
    <col min="28" max="29" width="16.42578125" style="186" customWidth="1"/>
    <col min="30" max="32" width="16.42578125" style="146" customWidth="1"/>
    <col min="33" max="36" width="16.42578125" style="186" customWidth="1"/>
    <col min="37" max="37" width="60.7109375" style="146" customWidth="1"/>
    <col min="38" max="16384" width="9.140625" style="146"/>
  </cols>
  <sheetData>
    <row r="1" spans="1:40" ht="102">
      <c r="A1" s="140" t="str" cm="1">
        <f t="array" ref="A1:AL93">IF(ISBLANK('ICU_cargo MASTER INPUT SHEET'!A1:AL93),"",'ICU_cargo MASTER INPUT SHEET'!A1:AL93)</f>
        <v>Cargo Item  respective WBS Level</v>
      </c>
      <c r="B1" s="140" t="str">
        <v>Work Package</v>
      </c>
      <c r="C1" s="141" t="str">
        <v>Item Description</v>
      </c>
      <c r="D1" s="141" t="str">
        <v>Contents &amp; Comments</v>
      </c>
      <c r="E1" s="140" t="str">
        <v>Length (in)</v>
      </c>
      <c r="F1" s="140" t="str">
        <v>Width (in)</v>
      </c>
      <c r="G1" s="140" t="str">
        <v>Height (in)</v>
      </c>
      <c r="H1" s="140" t="str">
        <v>Quantity</v>
      </c>
      <c r="I1" s="140" t="str">
        <v xml:space="preserve"> Cubic feet</v>
      </c>
      <c r="J1" s="140" t="str">
        <v>Unit weight (lbs)</v>
      </c>
      <c r="K1" s="140" t="str">
        <v>Total Weight (lbs) = quantity x unit weight</v>
      </c>
      <c r="L1" s="140" t="str">
        <v>Basis of Estimate</v>
      </c>
      <c r="M1" s="140" t="str">
        <v>Special Handling?</v>
      </c>
      <c r="N1" s="140" t="str">
        <v xml:space="preserve">Owner/Guardian institution </v>
      </c>
      <c r="O1" s="406" t="str">
        <v>Time between date of completion and shipping date</v>
      </c>
      <c r="P1" s="143" t="str">
        <v xml:space="preserve">Date of expected  or actual  completion </v>
      </c>
      <c r="Q1" s="143" t="str">
        <v>Expected Route:  Owner - PTH or CHC</v>
      </c>
      <c r="R1" s="143" t="str">
        <v xml:space="preserve">Date of expected or actual shipment </v>
      </c>
      <c r="S1" s="144" t="str">
        <v>Recommended Transportation Option</v>
      </c>
      <c r="T1" s="144" t="str">
        <v>Expected Route: PTH - MCM or CHC</v>
      </c>
      <c r="U1" s="144" t="str">
        <v xml:space="preserve">Date of expected or actual shipment </v>
      </c>
      <c r="V1" s="145" t="str">
        <v>Recommended Transportation Option</v>
      </c>
      <c r="W1" s="145" t="str">
        <v>Expected Route: CHC - MCM</v>
      </c>
      <c r="X1" s="145" t="str">
        <v xml:space="preserve">Date of expected or actual shipment </v>
      </c>
      <c r="Y1" s="142" t="str">
        <v>Recommended Transportation Option</v>
      </c>
      <c r="Z1" s="142" t="str">
        <v>Date Item expected or arrived to MCM</v>
      </c>
      <c r="AA1" s="140" t="str">
        <v xml:space="preserve">Date of (planned) or actual shipment to SPA </v>
      </c>
      <c r="AB1" s="142" t="str">
        <v>Recommended LC-130 or SPOT</v>
      </c>
      <c r="AC1" s="142" t="str">
        <v>Date/Month for Items needed at South Pole</v>
      </c>
      <c r="AD1" s="140" t="str">
        <v>Critical Path</v>
      </c>
      <c r="AE1" s="140" t="str">
        <v>Intercontinental shipping</v>
      </c>
      <c r="AF1" s="140" t="str">
        <v>Intracontinental shipping</v>
      </c>
      <c r="AG1" s="142" t="str">
        <v>Validator 1
(SME)</v>
      </c>
      <c r="AH1" s="142" t="str">
        <v>Validation Date</v>
      </c>
      <c r="AI1" s="142" t="str">
        <v>Validator 2
(Logistics)</v>
      </c>
      <c r="AJ1" s="142" t="str">
        <v>Validation Date</v>
      </c>
      <c r="AK1" s="140" t="str">
        <v>Notes</v>
      </c>
      <c r="AL1" s="146" t="str">
        <v/>
      </c>
    </row>
    <row r="2" spans="1:40" s="9" customFormat="1" ht="33.950000000000003" hidden="1">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8">
        <v>43867</v>
      </c>
      <c r="Q2" s="429" t="str">
        <v>In McMurdo</v>
      </c>
      <c r="R2" s="428" t="str">
        <v>-</v>
      </c>
      <c r="S2" s="430" t="str">
        <v>-</v>
      </c>
      <c r="T2" s="431" t="str">
        <v>In McMurdo</v>
      </c>
      <c r="U2" s="431" t="str">
        <v>-</v>
      </c>
      <c r="V2" s="432" t="str">
        <v>-</v>
      </c>
      <c r="W2" s="433" t="str">
        <v>In McMurdo</v>
      </c>
      <c r="X2" s="433" t="str">
        <v>-</v>
      </c>
      <c r="Y2" s="88" t="str">
        <v>-</v>
      </c>
      <c r="Z2" s="434" t="str">
        <v>In McMurdo</v>
      </c>
      <c r="AA2" s="409" t="str">
        <v>-</v>
      </c>
      <c r="AB2" s="435" t="str">
        <v>SPoT</v>
      </c>
      <c r="AC2" s="409">
        <v>45261</v>
      </c>
      <c r="AD2" s="409" t="str">
        <v>Yes</v>
      </c>
      <c r="AE2" s="409" t="str">
        <v>In McMurdo</v>
      </c>
      <c r="AF2" s="409" t="str">
        <v>FY24 intra</v>
      </c>
      <c r="AG2" s="409" t="str">
        <v>D. Gibson</v>
      </c>
      <c r="AH2" s="409">
        <v>44475</v>
      </c>
      <c r="AI2" s="409" t="str">
        <v>I. McEwen</v>
      </c>
      <c r="AJ2" s="10">
        <v>44475</v>
      </c>
      <c r="AK2" s="409" t="str">
        <v>Will require crane for onload/offload  - use belly band to support container sidewalls during lift.</v>
      </c>
      <c r="AL2" s="9" t="str">
        <v/>
      </c>
    </row>
    <row r="3" spans="1:40" s="9" customFormat="1" ht="51" hidden="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8">
        <v>43845</v>
      </c>
      <c r="Q3" s="429" t="str">
        <v>In McMurdo</v>
      </c>
      <c r="R3" s="428" t="str">
        <v>-</v>
      </c>
      <c r="S3" s="430" t="str">
        <v>-</v>
      </c>
      <c r="T3" s="431" t="str">
        <v>In McMurdo</v>
      </c>
      <c r="U3" s="431" t="str">
        <v>-</v>
      </c>
      <c r="V3" s="432" t="str">
        <v>-</v>
      </c>
      <c r="W3" s="433" t="str">
        <v>In McMurdo</v>
      </c>
      <c r="X3" s="433" t="str">
        <v>-</v>
      </c>
      <c r="Y3" s="88" t="str">
        <v>-</v>
      </c>
      <c r="Z3" s="434" t="str">
        <v>In McMurdo</v>
      </c>
      <c r="AA3" s="409" t="str">
        <v>-</v>
      </c>
      <c r="AB3" s="435" t="str">
        <v>SPoT</v>
      </c>
      <c r="AC3" s="409">
        <v>44927</v>
      </c>
      <c r="AD3" s="409" t="str">
        <v>Yes</v>
      </c>
      <c r="AE3" s="409" t="str">
        <v>In McMurdo</v>
      </c>
      <c r="AF3" s="409" t="str">
        <v>FY23 intra</v>
      </c>
      <c r="AG3" s="409" t="str">
        <v>D. Gibson</v>
      </c>
      <c r="AH3" s="409">
        <v>44475</v>
      </c>
      <c r="AI3" s="409" t="str">
        <v>I. McEwen</v>
      </c>
      <c r="AJ3" s="10">
        <v>44475</v>
      </c>
      <c r="AK3" s="10" t="str">
        <v>Gens 2 &amp; 3 need to be tranferred from ISO2 sleds that are limited to use on improved surfaces only. Will require crane for onload/offload  - use belly band to support container sidewalls during lift.</v>
      </c>
      <c r="AL3" s="9" t="str">
        <v/>
      </c>
    </row>
    <row r="4" spans="1:40" s="9" customFormat="1" ht="42.95" hidden="1"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8">
        <v>43845</v>
      </c>
      <c r="Q4" s="429" t="str">
        <v>In McMurdo</v>
      </c>
      <c r="R4" s="428" t="str">
        <v>-</v>
      </c>
      <c r="S4" s="430" t="str">
        <v>-</v>
      </c>
      <c r="T4" s="431" t="str">
        <v>In McMurdo</v>
      </c>
      <c r="U4" s="431" t="str">
        <v>-</v>
      </c>
      <c r="V4" s="432" t="str">
        <v>-</v>
      </c>
      <c r="W4" s="433" t="str">
        <v>In McMurdo</v>
      </c>
      <c r="X4" s="433" t="str">
        <v>-</v>
      </c>
      <c r="Y4" s="88" t="str">
        <v>-</v>
      </c>
      <c r="Z4" s="434" t="str">
        <v>In McMurdo</v>
      </c>
      <c r="AA4" s="409" t="str">
        <v>-</v>
      </c>
      <c r="AB4" s="435" t="str">
        <v>SPoT</v>
      </c>
      <c r="AC4" s="409">
        <v>44896</v>
      </c>
      <c r="AD4" s="409" t="str">
        <v>Yes</v>
      </c>
      <c r="AE4" s="409" t="str">
        <v>In McMurdo</v>
      </c>
      <c r="AF4" s="409" t="str">
        <v>FY23 intra</v>
      </c>
      <c r="AG4" s="409" t="str">
        <v>D. Gibson</v>
      </c>
      <c r="AH4" s="409">
        <v>44475</v>
      </c>
      <c r="AI4" s="409" t="str">
        <v>I. McEwen</v>
      </c>
      <c r="AJ4" s="10">
        <v>44475</v>
      </c>
      <c r="AK4" s="409" t="str">
        <v>Gens 2 &amp; 3 need to be tranferred from ISO2 sleds that are limited to use on improved surfaces only. Will require crane for onload/offload  - use belly band to support container sidewalls during lift.</v>
      </c>
      <c r="AL4" s="9" t="str">
        <v/>
      </c>
    </row>
    <row r="5" spans="1:40" s="9" customFormat="1" ht="34.5" hidden="1"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8">
        <v>43753</v>
      </c>
      <c r="Q5" s="94" t="str">
        <v>In McMurdo</v>
      </c>
      <c r="R5" s="428">
        <v>43784</v>
      </c>
      <c r="S5" s="430" t="str">
        <v>Truck</v>
      </c>
      <c r="T5" s="431" t="str">
        <v>In McMurdo</v>
      </c>
      <c r="U5" s="431" t="str">
        <v>-</v>
      </c>
      <c r="V5" s="432" t="str">
        <v>-</v>
      </c>
      <c r="W5" s="433" t="str">
        <v>In McMurdo</v>
      </c>
      <c r="X5" s="433" t="str">
        <v>-</v>
      </c>
      <c r="Y5" s="88" t="str">
        <v>-</v>
      </c>
      <c r="Z5" s="434" t="str">
        <v>In McMurdo</v>
      </c>
      <c r="AA5" s="427" t="str">
        <v>-</v>
      </c>
      <c r="AB5" s="435" t="str">
        <v>LC-130/SPoT</v>
      </c>
      <c r="AC5" s="409">
        <v>44896</v>
      </c>
      <c r="AD5" s="409" t="str">
        <v>No*</v>
      </c>
      <c r="AE5" s="409" t="str">
        <v>In McMurdo</v>
      </c>
      <c r="AF5" s="409" t="str">
        <v>FY23 intra</v>
      </c>
      <c r="AG5" s="409" t="str">
        <v>D. Gibson</v>
      </c>
      <c r="AH5" s="409">
        <v>44476</v>
      </c>
      <c r="AI5" s="409" t="str">
        <v>I. McEwen</v>
      </c>
      <c r="AJ5" s="52">
        <v>44476</v>
      </c>
      <c r="AK5" s="409" t="str">
        <v>*Required onsite early in FY23 for refit/pre-drill activity support unless ASC can supply dedicated loader for Upgrade use</v>
      </c>
      <c r="AL5" s="9" t="str">
        <v/>
      </c>
    </row>
    <row r="6" spans="1:40" s="9" customFormat="1" ht="44.1" hidden="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8">
        <v>43814</v>
      </c>
      <c r="Q6" s="113" t="str">
        <v>In McMurdo</v>
      </c>
      <c r="R6" s="428" t="str">
        <v/>
      </c>
      <c r="S6" s="431" t="str">
        <v/>
      </c>
      <c r="T6" s="431" t="str">
        <v>In McMurdo</v>
      </c>
      <c r="U6" s="431" t="str">
        <v>-</v>
      </c>
      <c r="V6" s="433" t="str">
        <v>-</v>
      </c>
      <c r="W6" s="433" t="str">
        <v>In McMurdo</v>
      </c>
      <c r="X6" s="433" t="str">
        <v>-</v>
      </c>
      <c r="Y6" s="88" t="str">
        <v>-</v>
      </c>
      <c r="Z6" s="434" t="str">
        <v>In McMurdo</v>
      </c>
      <c r="AA6" s="427" t="str">
        <v>-</v>
      </c>
      <c r="AB6" s="435" t="str">
        <v>LC-130/SPoT</v>
      </c>
      <c r="AC6" s="409">
        <v>45292</v>
      </c>
      <c r="AD6" s="409" t="str">
        <v>No</v>
      </c>
      <c r="AE6" s="409" t="str">
        <v>In McMurdo</v>
      </c>
      <c r="AF6" s="409" t="str">
        <v>FY24 intra</v>
      </c>
      <c r="AG6" s="409" t="str">
        <v>D. Gibson</v>
      </c>
      <c r="AH6" s="409">
        <v>44477</v>
      </c>
      <c r="AI6" s="409" t="str">
        <v>I. McEwen</v>
      </c>
      <c r="AJ6" s="409">
        <v>44477</v>
      </c>
      <c r="AK6" s="409" t="str">
        <v>Testing/limited operation of Gens can be accomplished without hoods - Hoods required for the drill season</v>
      </c>
      <c r="AL6" s="9" t="str">
        <v/>
      </c>
    </row>
    <row r="7" spans="1:40" s="9" customFormat="1" ht="38.25" hidden="1"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8">
        <v>43845</v>
      </c>
      <c r="Q7" s="429" t="str">
        <v>In McMurdo</v>
      </c>
      <c r="R7" s="428" t="str">
        <v/>
      </c>
      <c r="S7" s="431" t="str">
        <v/>
      </c>
      <c r="T7" s="431" t="str">
        <v>In McMurdo</v>
      </c>
      <c r="U7" s="431" t="str">
        <v>-</v>
      </c>
      <c r="V7" s="433" t="str">
        <v>-</v>
      </c>
      <c r="W7" s="433" t="str">
        <v>In McMurdo</v>
      </c>
      <c r="X7" s="433" t="str">
        <v>-</v>
      </c>
      <c r="Y7" s="88" t="str">
        <v>-</v>
      </c>
      <c r="Z7" s="434" t="str">
        <v>In McMurdo</v>
      </c>
      <c r="AA7" s="427" t="str">
        <v>-</v>
      </c>
      <c r="AB7" s="435" t="str">
        <v>LC-130/SPoT</v>
      </c>
      <c r="AC7" s="409">
        <v>45261</v>
      </c>
      <c r="AD7" s="409" t="str">
        <v>Yes</v>
      </c>
      <c r="AE7" s="409" t="str">
        <v>In McMurdo</v>
      </c>
      <c r="AF7" s="409" t="str">
        <v>FY24 intra</v>
      </c>
      <c r="AG7" s="409" t="str">
        <v>D. Gibson</v>
      </c>
      <c r="AH7" s="409">
        <v>44477</v>
      </c>
      <c r="AI7" s="409" t="str">
        <v>I. McEwen</v>
      </c>
      <c r="AJ7" s="409">
        <v>44477</v>
      </c>
      <c r="AK7" s="409" t="str">
        <v>Bermed in McMurdo - SPOTSA</v>
      </c>
      <c r="AL7" s="9" t="str">
        <v/>
      </c>
    </row>
    <row r="8" spans="1:40" s="9" customFormat="1" ht="17.100000000000001" hidden="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8">
        <v>43845</v>
      </c>
      <c r="Q8" s="429" t="str">
        <v>In McMurdo</v>
      </c>
      <c r="R8" s="428" t="str">
        <v>-</v>
      </c>
      <c r="S8" s="431" t="str">
        <v>-</v>
      </c>
      <c r="T8" s="431" t="str">
        <v>In McMurdo</v>
      </c>
      <c r="U8" s="431" t="str">
        <v>-</v>
      </c>
      <c r="V8" s="432" t="str">
        <v>-</v>
      </c>
      <c r="W8" s="433" t="str">
        <v>In McMurdo</v>
      </c>
      <c r="X8" s="433" t="str">
        <v>-</v>
      </c>
      <c r="Y8" s="88" t="str">
        <v>-</v>
      </c>
      <c r="Z8" s="434" t="str">
        <v>In McMurdo</v>
      </c>
      <c r="AA8" s="427" t="str">
        <v>-</v>
      </c>
      <c r="AB8" s="435" t="str">
        <v>LC-130/SPoT</v>
      </c>
      <c r="AC8" s="409">
        <v>45261</v>
      </c>
      <c r="AD8" s="409" t="str">
        <v>Yes</v>
      </c>
      <c r="AE8" s="409" t="str">
        <v>In McMurdo</v>
      </c>
      <c r="AF8" s="409" t="str">
        <v>FY24 intra</v>
      </c>
      <c r="AG8" s="409" t="str">
        <v>D. Gibson</v>
      </c>
      <c r="AH8" s="409">
        <v>44477</v>
      </c>
      <c r="AI8" s="409" t="str">
        <v>I. McEwen</v>
      </c>
      <c r="AJ8" s="409">
        <v>44477</v>
      </c>
      <c r="AK8" s="409" t="str">
        <v/>
      </c>
      <c r="AL8" s="9" t="str">
        <v/>
      </c>
    </row>
    <row r="9" spans="1:40" s="9" customFormat="1" ht="17.100000000000001" hidden="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8">
        <v>43845</v>
      </c>
      <c r="Q9" s="429" t="str">
        <v>In McMurdo</v>
      </c>
      <c r="R9" s="428" t="str">
        <v>-</v>
      </c>
      <c r="S9" s="431" t="str">
        <v>-</v>
      </c>
      <c r="T9" s="431" t="str">
        <v>In McMurdo</v>
      </c>
      <c r="U9" s="431" t="str">
        <v>-</v>
      </c>
      <c r="V9" s="432" t="str">
        <v>-</v>
      </c>
      <c r="W9" s="433" t="str">
        <v>In McMurdo</v>
      </c>
      <c r="X9" s="433" t="str">
        <v>-</v>
      </c>
      <c r="Y9" s="88" t="str">
        <v>-</v>
      </c>
      <c r="Z9" s="434" t="str">
        <v>In McMurdo</v>
      </c>
      <c r="AA9" s="427" t="str">
        <v>-</v>
      </c>
      <c r="AB9" s="435" t="str">
        <v>LC-130/SPoT</v>
      </c>
      <c r="AC9" s="409">
        <v>45261</v>
      </c>
      <c r="AD9" s="409" t="str">
        <v>Yes</v>
      </c>
      <c r="AE9" s="409" t="str">
        <v>In McMurdo</v>
      </c>
      <c r="AF9" s="409" t="str">
        <v>FY24 intra</v>
      </c>
      <c r="AG9" s="409" t="str">
        <v>D. Gibson</v>
      </c>
      <c r="AH9" s="409">
        <v>44477</v>
      </c>
      <c r="AI9" s="409" t="str">
        <v>I. McEwen</v>
      </c>
      <c r="AJ9" s="409">
        <v>44477</v>
      </c>
      <c r="AK9" s="409" t="str">
        <v/>
      </c>
      <c r="AL9" s="9" t="str">
        <v/>
      </c>
    </row>
    <row r="10" spans="1:40" s="91" customFormat="1" ht="31.5" hidden="1"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8">
        <v>43845</v>
      </c>
      <c r="Q10" s="429" t="str">
        <v>In McMurdo</v>
      </c>
      <c r="R10" s="428" t="str">
        <v/>
      </c>
      <c r="S10" s="431" t="str">
        <v/>
      </c>
      <c r="T10" s="431" t="str">
        <v>In McMurdo</v>
      </c>
      <c r="U10" s="431" t="str">
        <v>-</v>
      </c>
      <c r="V10" s="433" t="str">
        <v>-</v>
      </c>
      <c r="W10" s="433" t="str">
        <v>In McMurdo</v>
      </c>
      <c r="X10" s="433" t="str">
        <v>-</v>
      </c>
      <c r="Y10" s="88" t="str">
        <v>-</v>
      </c>
      <c r="Z10" s="434" t="str">
        <v>In McMurdo</v>
      </c>
      <c r="AA10" s="427" t="str">
        <v>-</v>
      </c>
      <c r="AB10" s="435" t="str">
        <v>LC-130/SPoT</v>
      </c>
      <c r="AC10" s="409">
        <v>45275</v>
      </c>
      <c r="AD10" s="409" t="str">
        <v>No</v>
      </c>
      <c r="AE10" s="409" t="str">
        <v>In McMurdo</v>
      </c>
      <c r="AF10" s="409" t="str">
        <v>FY24 intra</v>
      </c>
      <c r="AG10" s="409" t="str">
        <v>D. Gibson</v>
      </c>
      <c r="AH10" s="409">
        <v>44477</v>
      </c>
      <c r="AI10" s="409" t="str">
        <v>I. McEwen</v>
      </c>
      <c r="AJ10" s="409">
        <v>44477</v>
      </c>
      <c r="AK10" s="409" t="str">
        <v>Bermed in McMurdo - SPOTSA on UNL flatrack</v>
      </c>
      <c r="AL10" s="9" t="str">
        <v/>
      </c>
      <c r="AM10" s="9"/>
      <c r="AN10" s="9"/>
    </row>
    <row r="11" spans="1:40" s="9" customFormat="1" ht="44.1" hidden="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8">
        <v>43845</v>
      </c>
      <c r="Q11" s="429" t="str">
        <v>In McMurdo</v>
      </c>
      <c r="R11" s="428"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09">
        <v>44927</v>
      </c>
      <c r="AD11" s="409" t="str">
        <v>Yes</v>
      </c>
      <c r="AE11" s="409" t="str">
        <v>In McMurdo</v>
      </c>
      <c r="AF11" s="409" t="str">
        <v>FY23 intra</v>
      </c>
      <c r="AG11" s="409" t="str">
        <v>D. Gibson</v>
      </c>
      <c r="AH11" s="409">
        <v>44477</v>
      </c>
      <c r="AI11" s="409" t="str">
        <v>I. McEwen</v>
      </c>
      <c r="AJ11" s="409">
        <v>44477</v>
      </c>
      <c r="AK11" s="409" t="str">
        <v>Bermed in McMurdo - SPOTSA on UNL flatrack - overland shipment preferred due to complexities of air transport certification - can be laid on side once drained</v>
      </c>
      <c r="AL11" s="9" t="str">
        <v/>
      </c>
    </row>
    <row r="12" spans="1:40" s="9" customFormat="1" ht="51" hidden="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8">
        <v>43845</v>
      </c>
      <c r="Q12" s="429" t="str">
        <v>In McMurdo</v>
      </c>
      <c r="R12" s="428" t="str">
        <v/>
      </c>
      <c r="S12" s="431" t="str">
        <v/>
      </c>
      <c r="T12" s="431" t="str">
        <v>In McMurdo</v>
      </c>
      <c r="U12" s="431" t="str">
        <v>-</v>
      </c>
      <c r="V12" s="433" t="str">
        <v>-</v>
      </c>
      <c r="W12" s="433" t="str">
        <v>In McMurdo</v>
      </c>
      <c r="X12" s="433" t="str">
        <v>-</v>
      </c>
      <c r="Y12" s="88" t="str">
        <v>-</v>
      </c>
      <c r="Z12" s="434" t="str">
        <v>In McMurdo</v>
      </c>
      <c r="AA12" s="409" t="str">
        <v>-</v>
      </c>
      <c r="AB12" s="435" t="str">
        <v>SPoT</v>
      </c>
      <c r="AC12" s="409">
        <v>45292</v>
      </c>
      <c r="AD12" s="409" t="str">
        <v>Yes</v>
      </c>
      <c r="AE12" s="409" t="str">
        <v>In McMurdo</v>
      </c>
      <c r="AF12" s="409" t="str">
        <v>FY24 intra</v>
      </c>
      <c r="AG12" s="409" t="str">
        <v>D. Gibson</v>
      </c>
      <c r="AH12" s="409">
        <v>44477</v>
      </c>
      <c r="AI12" s="409" t="str">
        <v>I. McEwen</v>
      </c>
      <c r="AJ12" s="409">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s="9" customFormat="1" ht="51" hidden="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96" t="str">
        <v>Already at PTH</v>
      </c>
      <c r="P14" s="428">
        <v>44193</v>
      </c>
      <c r="Q14" s="94" t="str">
        <v>Already at PTH</v>
      </c>
      <c r="R14" s="428">
        <v>44211</v>
      </c>
      <c r="S14" s="430" t="str">
        <v>Truck</v>
      </c>
      <c r="T14" s="12" t="str">
        <v>PTH - MCM</v>
      </c>
      <c r="U14" s="431" t="str">
        <v>-</v>
      </c>
      <c r="V14" s="432" t="str">
        <v>USAP Vessel</v>
      </c>
      <c r="W14" s="433" t="str">
        <v>USAP Vessel</v>
      </c>
      <c r="X14" s="433" t="str">
        <v>-</v>
      </c>
      <c r="Y14" s="100" t="str">
        <v>-</v>
      </c>
      <c r="Z14" s="434">
        <v>44598</v>
      </c>
      <c r="AA14" s="427" t="str">
        <v>-</v>
      </c>
      <c r="AB14" s="435" t="str">
        <v>LC-130/SPoT</v>
      </c>
      <c r="AC14" s="409">
        <v>44910</v>
      </c>
      <c r="AD14" s="409" t="str">
        <v>No*</v>
      </c>
      <c r="AE14" s="409" t="str">
        <v>FY22 inter</v>
      </c>
      <c r="AF14" s="409" t="str">
        <v>FY23 intra</v>
      </c>
      <c r="AG14" s="409" t="str">
        <v>D. Gibson</v>
      </c>
      <c r="AH14" s="409">
        <v>44477</v>
      </c>
      <c r="AI14" s="409" t="str">
        <v>I. McEwen</v>
      </c>
      <c r="AJ14" s="409">
        <v>44477</v>
      </c>
      <c r="AK14" s="409" t="str">
        <v>*While this shipment is not on the critical path additional ASC crane support will be required to overcome delayed arrival or sleds furnished from the South Pole inventory</v>
      </c>
      <c r="AL14" s="9" t="str">
        <v/>
      </c>
    </row>
    <row r="15" spans="1:40" s="9" customFormat="1" ht="33.950000000000003" hidden="1">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35" t="str">
        <v>Already at PTH</v>
      </c>
      <c r="P15" s="428">
        <v>44112</v>
      </c>
      <c r="Q15" s="94" t="str">
        <v>Already at PTH</v>
      </c>
      <c r="R15" s="428">
        <v>44159</v>
      </c>
      <c r="S15" s="430" t="str">
        <v>Truck</v>
      </c>
      <c r="T15" s="12" t="str">
        <v>PTH - MCM</v>
      </c>
      <c r="U15" s="431" t="str">
        <v>-</v>
      </c>
      <c r="V15" s="432" t="str">
        <v>USAP Vessel</v>
      </c>
      <c r="W15" s="433" t="str">
        <v>USAP Vessel</v>
      </c>
      <c r="X15" s="433" t="str">
        <v>-</v>
      </c>
      <c r="Y15" s="100" t="str">
        <v>-</v>
      </c>
      <c r="Z15" s="434">
        <v>44963</v>
      </c>
      <c r="AA15" s="409" t="str">
        <v>-</v>
      </c>
      <c r="AB15" s="435" t="str">
        <v>LC-130/SPoT</v>
      </c>
      <c r="AC15" s="409">
        <v>45292</v>
      </c>
      <c r="AD15" s="409" t="str">
        <v>Yes</v>
      </c>
      <c r="AE15" s="409" t="str">
        <v>FY23 inter</v>
      </c>
      <c r="AF15" s="409" t="str">
        <v>FY24 intra</v>
      </c>
      <c r="AG15" s="409" t="str">
        <v>D. Gibson</v>
      </c>
      <c r="AH15" s="409">
        <v>44477</v>
      </c>
      <c r="AI15" s="409" t="str">
        <v>I. McEwen</v>
      </c>
      <c r="AJ15" s="409">
        <v>44477</v>
      </c>
      <c r="AK15" s="409" t="str">
        <v/>
      </c>
      <c r="AL15" s="9" t="str">
        <v/>
      </c>
    </row>
    <row r="16" spans="1:40" s="9" customFormat="1" ht="33.950000000000003" hidden="1">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35" t="str">
        <v>Already at PTH</v>
      </c>
      <c r="P16" s="428">
        <v>44112</v>
      </c>
      <c r="Q16" s="94" t="str">
        <v>Already at PTH</v>
      </c>
      <c r="R16" s="428">
        <v>44159</v>
      </c>
      <c r="S16" s="430" t="str">
        <v>Truck</v>
      </c>
      <c r="T16" s="12" t="str">
        <v>PTH - MCM</v>
      </c>
      <c r="U16" s="431" t="str">
        <v>-</v>
      </c>
      <c r="V16" s="432" t="str">
        <v>USAP Vessel</v>
      </c>
      <c r="W16" s="433" t="str">
        <v>USAP Vessel</v>
      </c>
      <c r="X16" s="433" t="str">
        <v>-</v>
      </c>
      <c r="Y16" s="100" t="str">
        <v>-</v>
      </c>
      <c r="Z16" s="434">
        <v>44963</v>
      </c>
      <c r="AA16" s="409" t="str">
        <v>-</v>
      </c>
      <c r="AB16" s="435" t="str">
        <v>LC-130/SPoT</v>
      </c>
      <c r="AC16" s="409">
        <v>45292</v>
      </c>
      <c r="AD16" s="409" t="str">
        <v>Yes</v>
      </c>
      <c r="AE16" s="409" t="str">
        <v>FY23 inter</v>
      </c>
      <c r="AF16" s="409" t="str">
        <v>FY24 intra</v>
      </c>
      <c r="AG16" s="409" t="str">
        <v>D. Gibson</v>
      </c>
      <c r="AH16" s="409">
        <v>44477</v>
      </c>
      <c r="AI16" s="409" t="str">
        <v>I. McEwen</v>
      </c>
      <c r="AJ16" s="409">
        <v>44477</v>
      </c>
      <c r="AK16" s="409" t="str">
        <v/>
      </c>
      <c r="AL16" s="9" t="str">
        <v/>
      </c>
    </row>
    <row r="17" spans="1:40" s="9" customFormat="1" ht="34.35" hidden="1"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35" t="str">
        <v>Already at PTH</v>
      </c>
      <c r="P17" s="428">
        <v>44041</v>
      </c>
      <c r="Q17" s="94" t="str">
        <v>Already at PTH</v>
      </c>
      <c r="R17" s="428">
        <v>44058</v>
      </c>
      <c r="S17" s="430" t="str">
        <v>Truck</v>
      </c>
      <c r="T17" s="12" t="str">
        <v>PTH - MCM</v>
      </c>
      <c r="U17" s="431" t="str">
        <v>-</v>
      </c>
      <c r="V17" s="432" t="str">
        <v>USAP Vessel</v>
      </c>
      <c r="W17" s="433" t="str">
        <v>USAP Vessel</v>
      </c>
      <c r="X17" s="433" t="str">
        <v>-</v>
      </c>
      <c r="Y17" s="100" t="str">
        <v>-</v>
      </c>
      <c r="Z17" s="434">
        <v>44963</v>
      </c>
      <c r="AA17" s="427" t="str">
        <v>-</v>
      </c>
      <c r="AB17" s="435" t="str">
        <v>LC-130/SPoT</v>
      </c>
      <c r="AC17" s="409">
        <v>45292</v>
      </c>
      <c r="AD17" s="409" t="str">
        <v>Yes</v>
      </c>
      <c r="AE17" s="409" t="str">
        <v>FY23 inter</v>
      </c>
      <c r="AF17" s="409" t="str">
        <v>FY24 intra</v>
      </c>
      <c r="AG17" s="409" t="str">
        <v>D. Gibson</v>
      </c>
      <c r="AH17" s="409">
        <v>44477</v>
      </c>
      <c r="AI17" s="409" t="str">
        <v>I. McEwen</v>
      </c>
      <c r="AJ17" s="409">
        <v>44477</v>
      </c>
      <c r="AK17" s="409" t="str">
        <v>Hose to be installed on Main Supply Hose Reel upon arrival at Pole</v>
      </c>
      <c r="AL17" s="9" t="str">
        <v/>
      </c>
    </row>
    <row r="18" spans="1:40" s="9" customFormat="1" ht="34.35" hidden="1"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35" t="str">
        <v>Already at PTH</v>
      </c>
      <c r="P18" s="428">
        <v>44154</v>
      </c>
      <c r="Q18" s="94" t="str">
        <v>Already at PTH</v>
      </c>
      <c r="R18" s="428">
        <v>44211</v>
      </c>
      <c r="S18" s="430" t="str">
        <v>Truck</v>
      </c>
      <c r="T18" s="12" t="str">
        <v>PTH - MCM</v>
      </c>
      <c r="U18" s="431" t="str">
        <v>-</v>
      </c>
      <c r="V18" s="432" t="str">
        <v>USAP Vessel</v>
      </c>
      <c r="W18" s="433" t="str">
        <v>USAP Vessel</v>
      </c>
      <c r="X18" s="433" t="str">
        <v>-</v>
      </c>
      <c r="Y18" s="100" t="str">
        <v>-</v>
      </c>
      <c r="Z18" s="434">
        <v>44963</v>
      </c>
      <c r="AA18" s="427" t="str">
        <v>-</v>
      </c>
      <c r="AB18" s="435" t="str">
        <v>LC-130/SPoT</v>
      </c>
      <c r="AC18" s="409">
        <v>45292</v>
      </c>
      <c r="AD18" s="409" t="str">
        <v>Yes</v>
      </c>
      <c r="AE18" s="409" t="str">
        <v>FY23 inter</v>
      </c>
      <c r="AF18" s="409" t="str">
        <v>FY24 intra</v>
      </c>
      <c r="AG18" s="409" t="str">
        <v>D. Gibson</v>
      </c>
      <c r="AH18" s="409">
        <v>44477</v>
      </c>
      <c r="AI18" s="409" t="str">
        <v>I. McEwen</v>
      </c>
      <c r="AJ18" s="409">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57" t="str">
        <v/>
      </c>
      <c r="F19" s="57" t="str">
        <v/>
      </c>
      <c r="G19" s="44" t="str">
        <v>TEU=&gt;</v>
      </c>
      <c r="H19" s="135">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s="9" customFormat="1" ht="39.75" hidden="1" customHeight="1" thickTop="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26">
        <v>12</v>
      </c>
      <c r="P20" s="443">
        <v>44503</v>
      </c>
      <c r="Q20" s="429" t="str">
        <v>UWM - PTH</v>
      </c>
      <c r="R20" s="428">
        <v>44515</v>
      </c>
      <c r="S20" s="430" t="str">
        <v xml:space="preserve"> Truck</v>
      </c>
      <c r="T20" s="440" t="str">
        <v>PTH - MCM</v>
      </c>
      <c r="U20" s="47" t="str">
        <v>-</v>
      </c>
      <c r="V20" s="432" t="str">
        <v>USAP Vessel</v>
      </c>
      <c r="W20" s="433" t="str">
        <v>USAP Vessel</v>
      </c>
      <c r="X20" s="433" t="str">
        <v>-</v>
      </c>
      <c r="Y20" s="100" t="str">
        <v>-</v>
      </c>
      <c r="Z20" s="434">
        <v>44598</v>
      </c>
      <c r="AA20" s="409" t="str">
        <v>-</v>
      </c>
      <c r="AB20" s="435" t="str">
        <v>LC-130</v>
      </c>
      <c r="AC20" s="409">
        <v>44880</v>
      </c>
      <c r="AD20" s="409" t="str">
        <v>Yes</v>
      </c>
      <c r="AE20" s="409" t="str">
        <v>FY22 inter</v>
      </c>
      <c r="AF20" s="409" t="str">
        <v>FY23 intra</v>
      </c>
      <c r="AG20" s="409" t="str">
        <v>D. Gibson</v>
      </c>
      <c r="AH20" s="409">
        <v>44477</v>
      </c>
      <c r="AI20" s="409" t="str">
        <v>I. McEwen</v>
      </c>
      <c r="AJ20" s="409">
        <v>44477</v>
      </c>
      <c r="AK20" s="61" t="str">
        <v xml:space="preserve">8' container moves with contents by LC130 or is broken down for movement by Basler. Packing in progress. </v>
      </c>
      <c r="AL20" s="9" t="str">
        <v/>
      </c>
    </row>
    <row r="21" spans="1:40" s="9" customFormat="1" ht="47.25" hidden="1"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26">
        <v>2</v>
      </c>
      <c r="P21" s="443">
        <v>44513</v>
      </c>
      <c r="Q21" s="429" t="str">
        <v>UWM - PTH</v>
      </c>
      <c r="R21" s="428">
        <v>44515</v>
      </c>
      <c r="S21" s="430" t="str">
        <v xml:space="preserve"> Truck</v>
      </c>
      <c r="T21" s="440" t="str">
        <v>PTH - MCM</v>
      </c>
      <c r="U21" s="47" t="str">
        <v>-</v>
      </c>
      <c r="V21" s="432" t="str">
        <v>USAP Vessel</v>
      </c>
      <c r="W21" s="433" t="str">
        <v>USAP Vessel</v>
      </c>
      <c r="X21" s="433" t="str">
        <v>-</v>
      </c>
      <c r="Y21" s="100" t="str">
        <v>-</v>
      </c>
      <c r="Z21" s="434">
        <v>44598</v>
      </c>
      <c r="AA21" s="409" t="str">
        <v>-</v>
      </c>
      <c r="AB21" s="435" t="str">
        <v>LC-130/SPoT</v>
      </c>
      <c r="AC21" s="409">
        <v>44896</v>
      </c>
      <c r="AD21" s="409" t="str">
        <v>Yes</v>
      </c>
      <c r="AE21" s="409" t="str">
        <v>FY22 inter</v>
      </c>
      <c r="AF21" s="409" t="str">
        <v>FY23 intra</v>
      </c>
      <c r="AG21" s="409" t="str">
        <v>D. Gibson</v>
      </c>
      <c r="AH21" s="409">
        <v>44477</v>
      </c>
      <c r="AI21" s="409" t="str">
        <v>I. McEwen</v>
      </c>
      <c r="AJ21" s="409">
        <v>44477</v>
      </c>
      <c r="AK21" s="409" t="str">
        <v xml:space="preserve">For air shipment container contents will need to be unloaded and palletized. Container procurement delayed by shortage. Packing in progress. </v>
      </c>
      <c r="AL21" s="9" t="str">
        <v/>
      </c>
    </row>
    <row r="22" spans="1:40" s="9" customFormat="1" ht="51" hidden="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26" t="str">
        <v>in transit</v>
      </c>
      <c r="P22" s="443">
        <v>44502</v>
      </c>
      <c r="Q22" s="429" t="str">
        <v>UWM - PTH</v>
      </c>
      <c r="R22" s="428">
        <v>44515</v>
      </c>
      <c r="S22" s="430" t="str">
        <v>Truck</v>
      </c>
      <c r="T22" s="431" t="str">
        <v>PTH - MCM</v>
      </c>
      <c r="U22" s="47" t="str">
        <v>-</v>
      </c>
      <c r="V22" s="432" t="str">
        <v>USAP Vessel</v>
      </c>
      <c r="W22" s="433" t="str">
        <v>USAP Vessel</v>
      </c>
      <c r="X22" s="433" t="str">
        <v>-</v>
      </c>
      <c r="Y22" s="100" t="str">
        <v>-</v>
      </c>
      <c r="Z22" s="434">
        <v>44598</v>
      </c>
      <c r="AA22" s="409" t="str">
        <v>-</v>
      </c>
      <c r="AB22" s="435" t="str">
        <v>LC-130/SPoT</v>
      </c>
      <c r="AC22" s="409">
        <v>44910</v>
      </c>
      <c r="AD22" s="409" t="str">
        <v>Yes</v>
      </c>
      <c r="AE22" s="409" t="str">
        <v>FY22 inter</v>
      </c>
      <c r="AF22" s="409" t="str">
        <v>FY23 intra</v>
      </c>
      <c r="AG22" s="409" t="str">
        <v>D. Gibson</v>
      </c>
      <c r="AH22" s="409">
        <v>44477</v>
      </c>
      <c r="AI22" s="409" t="str">
        <v>I. McEwen</v>
      </c>
      <c r="AJ22" s="409">
        <v>44477</v>
      </c>
      <c r="AK22" s="409" t="str">
        <v>For air shipment container contents will need to be unloaded and palletized</v>
      </c>
      <c r="AL22" s="9" t="str">
        <v/>
      </c>
    </row>
    <row r="23" spans="1:40" s="9" customFormat="1" ht="79.5" hidden="1"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96" t="str">
        <v>in transit</v>
      </c>
      <c r="P23" s="443">
        <v>44502</v>
      </c>
      <c r="Q23" s="429" t="str">
        <v>UWM - PTH</v>
      </c>
      <c r="R23" s="428">
        <v>44515</v>
      </c>
      <c r="S23" s="430" t="str">
        <v xml:space="preserve"> Truck</v>
      </c>
      <c r="T23" s="440" t="str">
        <v>PTH - MCM</v>
      </c>
      <c r="U23" s="431" t="str">
        <v>-</v>
      </c>
      <c r="V23" s="432" t="str">
        <v>USAP Vessel</v>
      </c>
      <c r="W23" s="433" t="str">
        <v>USAP Vessel</v>
      </c>
      <c r="X23" s="433" t="str">
        <v>-</v>
      </c>
      <c r="Y23" s="100" t="str">
        <v>-</v>
      </c>
      <c r="Z23" s="434">
        <v>44598</v>
      </c>
      <c r="AA23" s="409" t="str">
        <v>-</v>
      </c>
      <c r="AB23" s="435" t="str">
        <v>LC-130/SPoT</v>
      </c>
      <c r="AC23" s="409">
        <v>44910</v>
      </c>
      <c r="AD23" s="409" t="str">
        <v>Yes*</v>
      </c>
      <c r="AE23" s="409" t="str">
        <v>FY22 inter</v>
      </c>
      <c r="AF23" s="409" t="str">
        <v>FY23 intra</v>
      </c>
      <c r="AG23" s="409" t="str">
        <v>D. Gibson</v>
      </c>
      <c r="AH23" s="409">
        <v>44477</v>
      </c>
      <c r="AI23" s="409" t="str">
        <v>I. McEwen</v>
      </c>
      <c r="AJ23" s="409">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s="9" customFormat="1" ht="36.75" hidden="1"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26" t="str">
        <v>in transit</v>
      </c>
      <c r="P24" s="443">
        <v>44495</v>
      </c>
      <c r="Q24" s="429" t="str">
        <v>UWM - PTH</v>
      </c>
      <c r="R24" s="428">
        <v>44515</v>
      </c>
      <c r="S24" s="430" t="str">
        <v xml:space="preserve"> Truck</v>
      </c>
      <c r="T24" s="440" t="str">
        <v>PTH - MCM</v>
      </c>
      <c r="U24" s="47" t="str">
        <v>-</v>
      </c>
      <c r="V24" s="432" t="str">
        <v>USAP Vessel</v>
      </c>
      <c r="W24" s="433" t="str">
        <v>USAP Vessel</v>
      </c>
      <c r="X24" s="433" t="str">
        <v>-</v>
      </c>
      <c r="Y24" s="100" t="str">
        <v>-</v>
      </c>
      <c r="Z24" s="434">
        <v>44598</v>
      </c>
      <c r="AA24" s="409" t="str">
        <v>-</v>
      </c>
      <c r="AB24" s="435" t="str">
        <v>LC-130/SPoT</v>
      </c>
      <c r="AC24" s="409">
        <v>44927</v>
      </c>
      <c r="AD24" s="409" t="str">
        <v>Yes</v>
      </c>
      <c r="AE24" s="409" t="str">
        <v>FY22 inter</v>
      </c>
      <c r="AF24" s="409" t="str">
        <v>FY23 intra</v>
      </c>
      <c r="AG24" s="409" t="str">
        <v>D. Gibson</v>
      </c>
      <c r="AH24" s="409">
        <v>44477</v>
      </c>
      <c r="AI24" s="409" t="str">
        <v>I. McEwen</v>
      </c>
      <c r="AJ24" s="409">
        <v>44477</v>
      </c>
      <c r="AK24" s="61" t="str">
        <v>Weight from Gen 1 shipment information see picture.</v>
      </c>
      <c r="AL24" s="9" t="str">
        <v/>
      </c>
    </row>
    <row r="25" spans="1:40" s="9" customFormat="1" ht="27.75" hidden="1"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26">
        <v>7</v>
      </c>
      <c r="P25" s="443">
        <v>44508</v>
      </c>
      <c r="Q25" s="429" t="str">
        <v>UWM - PTH</v>
      </c>
      <c r="R25" s="428">
        <v>44515</v>
      </c>
      <c r="S25" s="430" t="str">
        <v xml:space="preserve"> Truck</v>
      </c>
      <c r="T25" s="440" t="str">
        <v>PTH - MCM</v>
      </c>
      <c r="U25" s="47" t="str">
        <v>-</v>
      </c>
      <c r="V25" s="432" t="str">
        <v>USAP Vessel</v>
      </c>
      <c r="W25" s="433" t="str">
        <v>USAP Vessel</v>
      </c>
      <c r="X25" s="433" t="str">
        <v>-</v>
      </c>
      <c r="Y25" s="100" t="str">
        <v>-</v>
      </c>
      <c r="Z25" s="434">
        <v>44598</v>
      </c>
      <c r="AA25" s="409" t="str">
        <v>-</v>
      </c>
      <c r="AB25" s="435" t="str">
        <v>LC-130/SPoT</v>
      </c>
      <c r="AC25" s="409">
        <v>44927</v>
      </c>
      <c r="AD25" s="409" t="str">
        <v>Yes</v>
      </c>
      <c r="AE25" s="409" t="str">
        <v>FY22 inter</v>
      </c>
      <c r="AF25" s="409" t="str">
        <v>FY23 intra</v>
      </c>
      <c r="AG25" s="409" t="str">
        <v>D. Gibson</v>
      </c>
      <c r="AH25" s="409">
        <v>44477</v>
      </c>
      <c r="AI25" s="409" t="str">
        <v>I. McEwen</v>
      </c>
      <c r="AJ25" s="409">
        <v>44477</v>
      </c>
      <c r="AK25" s="61" t="str">
        <v xml:space="preserve">Required onsite in FS Y1 for final integration and pre-drill activities. Shrink wrap contractor rescheduled for later date. </v>
      </c>
      <c r="AL25" s="9" t="str">
        <v/>
      </c>
    </row>
    <row r="26" spans="1:40" s="13" customFormat="1" ht="51" hidden="1">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26">
        <v>381</v>
      </c>
      <c r="P26" s="443">
        <v>44301</v>
      </c>
      <c r="Q26" s="429" t="str">
        <v>UWM - PTH</v>
      </c>
      <c r="R26" s="428">
        <v>44682</v>
      </c>
      <c r="S26" s="430" t="str">
        <v>Truck</v>
      </c>
      <c r="T26" s="431" t="str">
        <v>PTH - CHC</v>
      </c>
      <c r="U26" s="431" t="str">
        <v>-</v>
      </c>
      <c r="V26" s="432" t="str">
        <v>ComSur</v>
      </c>
      <c r="W26" s="433" t="str">
        <v>CHC-MCM</v>
      </c>
      <c r="X26" s="433" t="str">
        <v>-</v>
      </c>
      <c r="Y26" s="426" t="str">
        <v>USAP Air</v>
      </c>
      <c r="Z26" s="434">
        <v>44866</v>
      </c>
      <c r="AA26" s="434" t="str">
        <v>-</v>
      </c>
      <c r="AB26" s="426" t="str">
        <v>LC-130</v>
      </c>
      <c r="AC26" s="444">
        <v>44896</v>
      </c>
      <c r="AD26" s="409" t="str">
        <v>Yes</v>
      </c>
      <c r="AE26" s="409" t="str">
        <v>FY23 inter</v>
      </c>
      <c r="AF26" s="409" t="str">
        <v>FY23 intra</v>
      </c>
      <c r="AG26" s="409" t="str">
        <v>D. Gibson</v>
      </c>
      <c r="AH26" s="409">
        <v>44477</v>
      </c>
      <c r="AI26" s="409" t="str">
        <v>I. McEwen</v>
      </c>
      <c r="AJ26" s="444">
        <v>44477</v>
      </c>
      <c r="AK26" s="65" t="str">
        <v>Weight estimated</v>
      </c>
      <c r="AL26" s="13" t="str">
        <v/>
      </c>
    </row>
    <row r="27" spans="1:40" s="9" customFormat="1" ht="33.950000000000003" hidden="1">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35">
        <v>31</v>
      </c>
      <c r="P27" s="98">
        <v>45108</v>
      </c>
      <c r="Q27" s="429" t="str">
        <v>UWM - PTH</v>
      </c>
      <c r="R27" s="428">
        <v>45139</v>
      </c>
      <c r="S27" s="430" t="str">
        <v>Truck</v>
      </c>
      <c r="T27" s="431" t="str">
        <v>PTH - CHC</v>
      </c>
      <c r="U27" s="431" t="str">
        <v>-</v>
      </c>
      <c r="V27" s="432" t="str">
        <v>ComSur</v>
      </c>
      <c r="W27" s="433" t="str">
        <v>CHC-MCM</v>
      </c>
      <c r="X27" s="433" t="str">
        <v>-</v>
      </c>
      <c r="Y27" s="435" t="str">
        <v>USAP Air</v>
      </c>
      <c r="Z27" s="434">
        <v>45231</v>
      </c>
      <c r="AA27" s="409" t="str">
        <v>-</v>
      </c>
      <c r="AB27" s="435" t="str">
        <v>LC-130</v>
      </c>
      <c r="AC27" s="409">
        <v>45261</v>
      </c>
      <c r="AD27" s="409" t="str">
        <v>Yes</v>
      </c>
      <c r="AE27" s="409" t="str">
        <v>FY24 inter</v>
      </c>
      <c r="AF27" s="409" t="str">
        <v>FY24 intra</v>
      </c>
      <c r="AG27" s="409" t="str">
        <v>J. Kelley</v>
      </c>
      <c r="AH27" s="409">
        <v>44481</v>
      </c>
      <c r="AI27" s="409" t="str">
        <v>D. Tosi</v>
      </c>
      <c r="AJ27" s="409">
        <v>44481</v>
      </c>
      <c r="AK27" s="409" t="str">
        <v/>
      </c>
      <c r="AL27" s="9" t="str">
        <v/>
      </c>
    </row>
    <row r="28" spans="1:40" s="9" customFormat="1" ht="33.75" hidden="1" customHeight="1">
      <c r="A28" s="35">
        <v>1.4</v>
      </c>
      <c r="B28" s="51" t="str">
        <v>Installation</v>
      </c>
      <c r="C28" s="21" t="str">
        <v>ICL patch cables and patch panels</v>
      </c>
      <c r="D28" s="3"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35">
        <v>61</v>
      </c>
      <c r="P28" s="98">
        <v>45078</v>
      </c>
      <c r="Q28" s="429" t="str">
        <v>UWM - PTH</v>
      </c>
      <c r="R28" s="428">
        <v>45139</v>
      </c>
      <c r="S28" s="430" t="str">
        <v>Truck</v>
      </c>
      <c r="T28" s="431" t="str">
        <v>PTH - CHC</v>
      </c>
      <c r="U28" s="431" t="str">
        <v>-</v>
      </c>
      <c r="V28" s="432" t="str">
        <v>ComSur</v>
      </c>
      <c r="W28" s="433" t="str">
        <v>CHC-MCM</v>
      </c>
      <c r="X28" s="433" t="str">
        <v>-</v>
      </c>
      <c r="Y28" s="435" t="str">
        <v>USAP Air</v>
      </c>
      <c r="Z28" s="434">
        <v>45231</v>
      </c>
      <c r="AA28" s="427" t="str">
        <v>-</v>
      </c>
      <c r="AB28" s="435" t="str">
        <v>LC-130</v>
      </c>
      <c r="AC28" s="409">
        <v>45261</v>
      </c>
      <c r="AD28" s="409" t="str">
        <v>Yes</v>
      </c>
      <c r="AE28" s="409" t="str">
        <v>FY24 inter</v>
      </c>
      <c r="AF28" s="409" t="str">
        <v>FY24 intra</v>
      </c>
      <c r="AG28" s="409" t="str">
        <v>J. Kelley</v>
      </c>
      <c r="AH28" s="409">
        <v>44481</v>
      </c>
      <c r="AI28" s="409" t="str">
        <v>D. Tosi</v>
      </c>
      <c r="AJ28" s="409">
        <v>44481</v>
      </c>
      <c r="AK28" s="409" t="str">
        <v xml:space="preserve">(*) storage in McMurdo pending low temperature test </v>
      </c>
      <c r="AL28" s="9" t="str">
        <v/>
      </c>
    </row>
    <row r="29" spans="1:40" s="27" customFormat="1" ht="33.950000000000003" hidden="1">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78">
        <v>381</v>
      </c>
      <c r="P29" s="98">
        <v>44301</v>
      </c>
      <c r="Q29" s="95" t="str">
        <v>UWM - PTH</v>
      </c>
      <c r="R29" s="99">
        <v>44682</v>
      </c>
      <c r="S29" s="430" t="str">
        <v xml:space="preserve"> Truck</v>
      </c>
      <c r="T29" s="97" t="str">
        <v>PTH - CHC</v>
      </c>
      <c r="U29" s="431" t="str">
        <v>-</v>
      </c>
      <c r="V29" s="432" t="str">
        <v>ComSur</v>
      </c>
      <c r="W29" s="79" t="str">
        <v>CHC-MCM</v>
      </c>
      <c r="X29" s="433" t="str">
        <v>-</v>
      </c>
      <c r="Y29" s="426" t="str">
        <v>USAP Air</v>
      </c>
      <c r="Z29" s="10">
        <v>44866</v>
      </c>
      <c r="AA29" s="10" t="str">
        <v>-</v>
      </c>
      <c r="AB29" s="78" t="str">
        <v xml:space="preserve">LC-130 </v>
      </c>
      <c r="AC29" s="26">
        <v>44896</v>
      </c>
      <c r="AD29" s="409" t="str">
        <v>Yes</v>
      </c>
      <c r="AE29" s="409" t="str">
        <v>FY23 inter</v>
      </c>
      <c r="AF29" s="409" t="str">
        <v>FY23 intra</v>
      </c>
      <c r="AG29" s="409" t="str">
        <v>D. Gibson</v>
      </c>
      <c r="AH29" s="409">
        <v>44477</v>
      </c>
      <c r="AI29" s="409" t="str">
        <v>I. McEwen</v>
      </c>
      <c r="AJ29" s="66">
        <v>44477</v>
      </c>
      <c r="AK29" s="66" t="str">
        <v/>
      </c>
      <c r="AL29" s="27" t="str">
        <v/>
      </c>
    </row>
    <row r="30" spans="1:40" s="27" customFormat="1" ht="33.950000000000003" hidden="1">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78">
        <v>381</v>
      </c>
      <c r="P30" s="98">
        <v>44301</v>
      </c>
      <c r="Q30" s="95" t="str">
        <v>UWM - PTH</v>
      </c>
      <c r="R30" s="99">
        <v>44682</v>
      </c>
      <c r="S30" s="430" t="str">
        <v xml:space="preserve"> Truck</v>
      </c>
      <c r="T30" s="97" t="str">
        <v>PTH - CHC</v>
      </c>
      <c r="U30" s="431" t="str">
        <v>-</v>
      </c>
      <c r="V30" s="432" t="str">
        <v>ComSur</v>
      </c>
      <c r="W30" s="79" t="str">
        <v>CHC-MCM</v>
      </c>
      <c r="X30" s="433" t="str">
        <v>-</v>
      </c>
      <c r="Y30" s="426" t="str">
        <v>USAP Air</v>
      </c>
      <c r="Z30" s="10">
        <v>44866</v>
      </c>
      <c r="AA30" s="26" t="str">
        <v>-</v>
      </c>
      <c r="AB30" s="78" t="str">
        <v>LC-130/SPoT</v>
      </c>
      <c r="AC30" s="26">
        <v>44896</v>
      </c>
      <c r="AD30" s="409" t="str">
        <v>Yes</v>
      </c>
      <c r="AE30" s="409" t="str">
        <v>FY23 inter</v>
      </c>
      <c r="AF30" s="409" t="str">
        <v>FY23 intra</v>
      </c>
      <c r="AG30" s="409" t="str">
        <v>D. Gibson</v>
      </c>
      <c r="AH30" s="409">
        <v>44477</v>
      </c>
      <c r="AI30" s="409" t="str">
        <v>I. McEwen</v>
      </c>
      <c r="AJ30" s="66">
        <v>44477</v>
      </c>
      <c r="AK30" s="66" t="str">
        <v/>
      </c>
      <c r="AL30" s="27" t="str">
        <v/>
      </c>
    </row>
    <row r="31" spans="1:40" s="9" customFormat="1" ht="41.1" hidden="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35">
        <v>157</v>
      </c>
      <c r="P31" s="428">
        <v>44358</v>
      </c>
      <c r="Q31" s="95" t="str">
        <v>UWM - PTH</v>
      </c>
      <c r="R31" s="428">
        <v>44515</v>
      </c>
      <c r="S31" s="430" t="str">
        <v>Truck</v>
      </c>
      <c r="T31" s="12" t="str">
        <v>PTH - MCM</v>
      </c>
      <c r="U31" s="431" t="str">
        <v>-</v>
      </c>
      <c r="V31" s="39" t="str">
        <v>USAP Vessel</v>
      </c>
      <c r="W31" s="433" t="str">
        <v>USAP Vessel</v>
      </c>
      <c r="X31" s="433" t="str">
        <v>-</v>
      </c>
      <c r="Y31" s="100" t="str">
        <v>-</v>
      </c>
      <c r="Z31" s="434">
        <v>44598</v>
      </c>
      <c r="AA31" s="409" t="str">
        <v>-</v>
      </c>
      <c r="AB31" s="435" t="str">
        <v>LC-130/SPoT</v>
      </c>
      <c r="AC31" s="409">
        <v>45261</v>
      </c>
      <c r="AD31" s="409" t="str">
        <v>Yes</v>
      </c>
      <c r="AE31" s="409" t="str">
        <v>FY22 inter</v>
      </c>
      <c r="AF31" s="409" t="str">
        <v>FY24 intra</v>
      </c>
      <c r="AG31" s="409" t="str">
        <v>D. Gibson</v>
      </c>
      <c r="AH31" s="409">
        <v>44477</v>
      </c>
      <c r="AI31" s="409" t="str">
        <v>I. McEwen</v>
      </c>
      <c r="AJ31" s="409">
        <v>44477</v>
      </c>
      <c r="AK31" s="409" t="str">
        <v/>
      </c>
      <c r="AL31" s="9" t="str">
        <v/>
      </c>
    </row>
    <row r="32" spans="1:40" s="9" customFormat="1" ht="33.950000000000003" hidden="1">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35">
        <v>349</v>
      </c>
      <c r="P32" s="443">
        <v>44531</v>
      </c>
      <c r="Q32" s="429" t="str">
        <v>UWM - PTH</v>
      </c>
      <c r="R32" s="428">
        <v>44880</v>
      </c>
      <c r="S32" s="430" t="str">
        <v>Truck</v>
      </c>
      <c r="T32" s="431" t="str">
        <v>PTH - MCM</v>
      </c>
      <c r="U32" s="431" t="str">
        <v>-</v>
      </c>
      <c r="V32" s="432" t="str">
        <v>USAP Vessel</v>
      </c>
      <c r="W32" s="433" t="str">
        <v>USAP Vessel</v>
      </c>
      <c r="X32" s="433" t="str">
        <v>-</v>
      </c>
      <c r="Y32" s="435" t="str">
        <v>-</v>
      </c>
      <c r="Z32" s="434">
        <v>44963</v>
      </c>
      <c r="AA32" s="409" t="str">
        <v>-</v>
      </c>
      <c r="AB32" s="435" t="str">
        <v>LC-130/SPoT</v>
      </c>
      <c r="AC32" s="409">
        <v>45323</v>
      </c>
      <c r="AD32" s="409" t="str">
        <v>No</v>
      </c>
      <c r="AE32" s="409" t="str">
        <v>FY23 inter</v>
      </c>
      <c r="AF32" s="409" t="str">
        <v>FY24 intra</v>
      </c>
      <c r="AG32" s="409" t="str">
        <v>D. Gibson</v>
      </c>
      <c r="AH32" s="409">
        <v>44477</v>
      </c>
      <c r="AI32" s="409" t="str">
        <v>I. McEwen</v>
      </c>
      <c r="AJ32" s="409">
        <v>44477</v>
      </c>
      <c r="AK32" s="409" t="str">
        <v>Weight and cube used from Gen 1 shipping label still on bull wheel.</v>
      </c>
      <c r="AL32" s="9" t="str">
        <v/>
      </c>
    </row>
    <row r="33" spans="1:38" s="9" customFormat="1" ht="33.950000000000003" hidden="1">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35">
        <v>31</v>
      </c>
      <c r="P33" s="443">
        <v>44849</v>
      </c>
      <c r="Q33" s="429" t="str">
        <v>UWM - PTH</v>
      </c>
      <c r="R33" s="428">
        <v>44880</v>
      </c>
      <c r="S33" s="430" t="str">
        <v>Truck</v>
      </c>
      <c r="T33" s="431" t="str">
        <v>PTH - MCM</v>
      </c>
      <c r="U33" s="431" t="str">
        <v>-</v>
      </c>
      <c r="V33" s="432" t="str">
        <v>USAP Vessel</v>
      </c>
      <c r="W33" s="433" t="str">
        <v>USAP Vessel</v>
      </c>
      <c r="X33" s="433" t="str">
        <v>-</v>
      </c>
      <c r="Y33" s="435" t="str">
        <v>-</v>
      </c>
      <c r="Z33" s="434">
        <v>44963</v>
      </c>
      <c r="AA33" s="409" t="str">
        <v>-</v>
      </c>
      <c r="AB33" s="435" t="str">
        <v>LC-130/SPoT</v>
      </c>
      <c r="AC33" s="409">
        <v>45275</v>
      </c>
      <c r="AD33" s="409" t="str">
        <v>Yes</v>
      </c>
      <c r="AE33" s="409" t="str">
        <v>FY23 inter</v>
      </c>
      <c r="AF33" s="409" t="str">
        <v>FY24 intra</v>
      </c>
      <c r="AG33" s="409" t="str">
        <v>D. Gibson</v>
      </c>
      <c r="AH33" s="409">
        <v>44477</v>
      </c>
      <c r="AI33" s="409" t="str">
        <v>I. McEwen</v>
      </c>
      <c r="AJ33" s="409">
        <v>44477</v>
      </c>
      <c r="AK33" s="409" t="str">
        <v>Required onsite in FW YR 2 for integration - recent addition, still in development</v>
      </c>
      <c r="AL33" s="9" t="str">
        <v/>
      </c>
    </row>
    <row r="34" spans="1:38" s="9" customFormat="1" ht="61.5" hidden="1"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35">
        <v>117</v>
      </c>
      <c r="P34" s="443">
        <v>44763</v>
      </c>
      <c r="Q34" s="429" t="str">
        <v>UWM - PTH</v>
      </c>
      <c r="R34" s="428">
        <v>44880</v>
      </c>
      <c r="S34" s="431" t="str">
        <v>Truck</v>
      </c>
      <c r="T34" s="431" t="str">
        <v>PTH - MCM</v>
      </c>
      <c r="U34" s="431" t="str">
        <v>-</v>
      </c>
      <c r="V34" s="433" t="str">
        <v>USAP Vessel</v>
      </c>
      <c r="W34" s="433" t="str">
        <v>USAP Vessel</v>
      </c>
      <c r="X34" s="433" t="str">
        <v>-</v>
      </c>
      <c r="Y34" s="426" t="str">
        <v>-</v>
      </c>
      <c r="Z34" s="434">
        <v>44963</v>
      </c>
      <c r="AA34" s="409" t="str">
        <v>-</v>
      </c>
      <c r="AB34" s="435" t="str">
        <v>LC-130/SPoT</v>
      </c>
      <c r="AC34" s="409">
        <v>45261</v>
      </c>
      <c r="AD34" s="409" t="str">
        <v>Yes</v>
      </c>
      <c r="AE34" s="409" t="str">
        <v>FY23 inter</v>
      </c>
      <c r="AF34" s="409" t="str">
        <v>FY24 intra</v>
      </c>
      <c r="AG34" s="409" t="str">
        <v>D. Gibson</v>
      </c>
      <c r="AH34" s="409">
        <v>44477</v>
      </c>
      <c r="AI34" s="409" t="str">
        <v>I. McEwen</v>
      </c>
      <c r="AJ34" s="409">
        <v>44477</v>
      </c>
      <c r="AK34" s="61" t="str">
        <v>Sensor Handling Facility construction scheduled to begin mid-December FY24</v>
      </c>
      <c r="AL34" s="9" t="str">
        <v/>
      </c>
    </row>
    <row r="35" spans="1:38" s="9" customFormat="1" ht="17.100000000000001" hidden="1">
      <c r="A35" s="25">
        <v>1.2</v>
      </c>
      <c r="B35" s="48" t="str">
        <v>Drill</v>
      </c>
      <c r="C35" s="1" t="str">
        <v xml:space="preserve">Spare Combo cable </v>
      </c>
      <c r="D35" s="3"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35">
        <v>31</v>
      </c>
      <c r="P35" s="428">
        <v>44849</v>
      </c>
      <c r="Q35" s="429" t="str">
        <v>UWM - PTH</v>
      </c>
      <c r="R35" s="428">
        <v>44880</v>
      </c>
      <c r="S35" s="431" t="str">
        <v>Truck</v>
      </c>
      <c r="T35" s="431" t="str">
        <v>PTH - MCM</v>
      </c>
      <c r="U35" s="431" t="str">
        <v>-</v>
      </c>
      <c r="V35" s="433" t="str">
        <v>USAP Vessel</v>
      </c>
      <c r="W35" s="433" t="str">
        <v>USAP Vessel</v>
      </c>
      <c r="X35" s="433" t="str">
        <v>-</v>
      </c>
      <c r="Y35" s="426" t="str">
        <v>-</v>
      </c>
      <c r="Z35" s="434">
        <v>45328</v>
      </c>
      <c r="AA35" s="409" t="str">
        <v>-</v>
      </c>
      <c r="AB35" s="435" t="str">
        <v>LC-130/SPoT</v>
      </c>
      <c r="AC35" s="409">
        <v>45334</v>
      </c>
      <c r="AD35" s="409" t="str">
        <v>No</v>
      </c>
      <c r="AE35" s="409" t="str">
        <v>FY24 inter</v>
      </c>
      <c r="AF35" s="409" t="str">
        <v>FY24 intra</v>
      </c>
      <c r="AG35" s="409" t="str">
        <v>D. Gibson</v>
      </c>
      <c r="AH35" s="409">
        <v>44477</v>
      </c>
      <c r="AI35" s="409" t="str">
        <v>I. McEwen</v>
      </c>
      <c r="AJ35" s="409">
        <v>44477</v>
      </c>
      <c r="AK35" s="409" t="str">
        <v>Spare required for drill season</v>
      </c>
      <c r="AL35" s="9" t="str">
        <v/>
      </c>
    </row>
    <row r="36" spans="1:38" s="9" customFormat="1" ht="26.45" hidden="1" customHeight="1">
      <c r="A36" s="25">
        <v>1.2</v>
      </c>
      <c r="B36" s="49" t="str">
        <v>Drill</v>
      </c>
      <c r="C36" s="3" t="str">
        <v>Spare Drill Cable</v>
      </c>
      <c r="D36" s="3"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35">
        <v>31</v>
      </c>
      <c r="P36" s="428">
        <v>44849</v>
      </c>
      <c r="Q36" s="429" t="str">
        <v>UWM - PTH</v>
      </c>
      <c r="R36" s="428">
        <v>44880</v>
      </c>
      <c r="S36" s="431" t="str">
        <v>Truck</v>
      </c>
      <c r="T36" s="431" t="str">
        <v>PTH - MCM</v>
      </c>
      <c r="U36" s="431" t="str">
        <v>-</v>
      </c>
      <c r="V36" s="433" t="str">
        <v>USAP Vessel</v>
      </c>
      <c r="W36" s="433" t="str">
        <v>USAP Vessel</v>
      </c>
      <c r="X36" s="433" t="str">
        <v>-</v>
      </c>
      <c r="Y36" s="426" t="str">
        <v>-</v>
      </c>
      <c r="Z36" s="434">
        <v>45328</v>
      </c>
      <c r="AA36" s="409" t="str">
        <v>-</v>
      </c>
      <c r="AB36" s="435" t="str">
        <v>LC-130/SPoT</v>
      </c>
      <c r="AC36" s="409">
        <v>45334</v>
      </c>
      <c r="AD36" s="409" t="str">
        <v>No</v>
      </c>
      <c r="AE36" s="409" t="str">
        <v>FY24 inter</v>
      </c>
      <c r="AF36" s="409" t="str">
        <v>FY24 intra</v>
      </c>
      <c r="AG36" s="409" t="str">
        <v>D. Gibson</v>
      </c>
      <c r="AH36" s="409">
        <v>44477</v>
      </c>
      <c r="AI36" s="409" t="str">
        <v>I. McEwen</v>
      </c>
      <c r="AJ36" s="409">
        <v>44477</v>
      </c>
      <c r="AK36" s="409" t="str">
        <v>Spare required for drill season</v>
      </c>
      <c r="AL36" s="9" t="str">
        <v/>
      </c>
    </row>
    <row r="37" spans="1:38" s="9" customFormat="1" ht="33.950000000000003" hidden="1">
      <c r="A37" s="25">
        <v>1.2</v>
      </c>
      <c r="B37" s="48" t="str">
        <v>Drill</v>
      </c>
      <c r="C37" s="3" t="str">
        <v>Computing/controls components</v>
      </c>
      <c r="D37" s="3"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35">
        <v>31</v>
      </c>
      <c r="P37" s="443">
        <v>45108</v>
      </c>
      <c r="Q37" s="429" t="str">
        <v>UWM - PTH</v>
      </c>
      <c r="R37" s="428">
        <v>45139</v>
      </c>
      <c r="S37" s="430" t="str">
        <v>Truck</v>
      </c>
      <c r="T37" s="431" t="str">
        <v>PTH - CHC</v>
      </c>
      <c r="U37" s="431" t="str">
        <v>-</v>
      </c>
      <c r="V37" s="432" t="str">
        <v>ComSur</v>
      </c>
      <c r="W37" s="433" t="str">
        <v>CHC-MCM</v>
      </c>
      <c r="X37" s="433" t="str">
        <v>-</v>
      </c>
      <c r="Y37" s="435" t="str">
        <v>USAP Air</v>
      </c>
      <c r="Z37" s="434">
        <v>45231</v>
      </c>
      <c r="AA37" s="409" t="str">
        <v>-</v>
      </c>
      <c r="AB37" s="435" t="str">
        <v>LC-130</v>
      </c>
      <c r="AC37" s="409">
        <v>45245</v>
      </c>
      <c r="AD37" s="409" t="str">
        <v>Yes</v>
      </c>
      <c r="AE37" s="409" t="str">
        <v>FY24 inter</v>
      </c>
      <c r="AF37" s="409" t="str">
        <v>FY24 intra</v>
      </c>
      <c r="AG37" s="409" t="str">
        <v>D. Gibson</v>
      </c>
      <c r="AH37" s="409">
        <v>44477</v>
      </c>
      <c r="AI37" s="409" t="str">
        <v>I. McEwen</v>
      </c>
      <c r="AJ37" s="409">
        <v>44477</v>
      </c>
      <c r="AK37" s="409" t="str">
        <v>Required onsite in FW YR 2 to support controls system tasking</v>
      </c>
      <c r="AL37" s="9" t="str">
        <v/>
      </c>
    </row>
    <row r="38" spans="1:38" s="9" customFormat="1" ht="33.950000000000003" hidden="1">
      <c r="A38" s="25">
        <v>1.2</v>
      </c>
      <c r="B38" s="48" t="str">
        <v>Drill</v>
      </c>
      <c r="C38" s="3" t="str">
        <v>Driller resupply/refit components -  8'  Container</v>
      </c>
      <c r="D38" s="3"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35">
        <v>31</v>
      </c>
      <c r="P38" s="443">
        <v>45108</v>
      </c>
      <c r="Q38" s="429" t="str">
        <v>UWM - PTH</v>
      </c>
      <c r="R38" s="428">
        <v>45139</v>
      </c>
      <c r="S38" s="430" t="str">
        <v>Truck</v>
      </c>
      <c r="T38" s="431" t="str">
        <v>PTH - CHC</v>
      </c>
      <c r="U38" s="431" t="str">
        <v>-</v>
      </c>
      <c r="V38" s="432" t="str">
        <v>ComSur</v>
      </c>
      <c r="W38" s="433" t="str">
        <v>CHC-MCM</v>
      </c>
      <c r="X38" s="433" t="str">
        <v>-</v>
      </c>
      <c r="Y38" s="435" t="str">
        <v>USAP Air</v>
      </c>
      <c r="Z38" s="434">
        <v>45231</v>
      </c>
      <c r="AA38" s="409" t="str">
        <v>-</v>
      </c>
      <c r="AB38" s="435" t="str">
        <v>LC-130</v>
      </c>
      <c r="AC38" s="409">
        <v>45245</v>
      </c>
      <c r="AD38" s="409" t="str">
        <v>Yes</v>
      </c>
      <c r="AE38" s="409" t="str">
        <v>FY24 inter</v>
      </c>
      <c r="AF38" s="409" t="str">
        <v>FY24 intra</v>
      </c>
      <c r="AG38" s="409" t="str">
        <v>D. Gibson</v>
      </c>
      <c r="AH38" s="409">
        <v>44477</v>
      </c>
      <c r="AI38" s="409" t="str">
        <v>I. McEwen</v>
      </c>
      <c r="AJ38" s="409">
        <v>44477</v>
      </c>
      <c r="AK38" s="409" t="str">
        <v>Items identifed in prior field season - 8' container moves with contents overland or by air</v>
      </c>
      <c r="AL38" s="9" t="str">
        <v/>
      </c>
    </row>
    <row r="39" spans="1:38" s="9" customFormat="1" ht="17.100000000000001" hidden="1">
      <c r="A39" s="25">
        <v>1.2</v>
      </c>
      <c r="B39" s="48" t="str">
        <v>Drill</v>
      </c>
      <c r="C39" s="3" t="str">
        <v>Drill refit components</v>
      </c>
      <c r="D39" s="3"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35">
        <v>31</v>
      </c>
      <c r="P39" s="428">
        <v>45108</v>
      </c>
      <c r="Q39" s="429" t="str">
        <v>UWM - PTH</v>
      </c>
      <c r="R39" s="428">
        <v>45139</v>
      </c>
      <c r="S39" s="431" t="str">
        <v>Truck</v>
      </c>
      <c r="T39" s="431" t="str">
        <v>PTH - CHC</v>
      </c>
      <c r="U39" s="431" t="str">
        <v>-</v>
      </c>
      <c r="V39" s="433" t="str">
        <v>Comsur</v>
      </c>
      <c r="W39" s="433" t="str">
        <v>CHC-MCM</v>
      </c>
      <c r="X39" s="433" t="str">
        <v>-</v>
      </c>
      <c r="Y39" s="435" t="str">
        <v>USAP Air</v>
      </c>
      <c r="Z39" s="434">
        <v>45231</v>
      </c>
      <c r="AA39" s="427" t="str">
        <v>-</v>
      </c>
      <c r="AB39" s="435" t="str">
        <v>LC-130</v>
      </c>
      <c r="AC39" s="409">
        <v>45245</v>
      </c>
      <c r="AD39" s="409" t="str">
        <v>Yes</v>
      </c>
      <c r="AE39" s="409" t="str">
        <v>FY24 inter</v>
      </c>
      <c r="AF39" s="409" t="str">
        <v>FY24 intra</v>
      </c>
      <c r="AG39" s="409" t="str">
        <v>D. Gibson</v>
      </c>
      <c r="AH39" s="409">
        <v>44477</v>
      </c>
      <c r="AI39" s="409" t="str">
        <v>I. McEwen</v>
      </c>
      <c r="AJ39" s="409">
        <v>44477</v>
      </c>
      <c r="AK39" s="409" t="str">
        <v>Items identifed in prior field season</v>
      </c>
      <c r="AL39" s="9" t="str">
        <v/>
      </c>
    </row>
    <row r="40" spans="1:38" s="9" customFormat="1" ht="17.100000000000001" hidden="1">
      <c r="A40" s="25">
        <v>1.2</v>
      </c>
      <c r="B40" s="48" t="str">
        <v>Drill</v>
      </c>
      <c r="C40" s="18" t="str">
        <v>Drill Heads DNF - X</v>
      </c>
      <c r="D40" s="41"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35">
        <v>440</v>
      </c>
      <c r="P40" s="428">
        <v>44440</v>
      </c>
      <c r="Q40" s="429" t="str">
        <v>UWM - PTH</v>
      </c>
      <c r="R40" s="428">
        <v>44880</v>
      </c>
      <c r="S40" s="431" t="str">
        <v>Truck</v>
      </c>
      <c r="T40" s="431" t="str">
        <v>PTH - MCM</v>
      </c>
      <c r="U40" s="431" t="str">
        <v>-</v>
      </c>
      <c r="V40" s="433" t="str">
        <v>USAP Vessel</v>
      </c>
      <c r="W40" s="433" t="str">
        <v>USAP Vessel</v>
      </c>
      <c r="X40" s="433" t="str">
        <v>-</v>
      </c>
      <c r="Y40" s="426" t="str">
        <v>-</v>
      </c>
      <c r="Z40" s="434">
        <v>44963</v>
      </c>
      <c r="AA40" s="427" t="str">
        <v>-</v>
      </c>
      <c r="AB40" s="435" t="str">
        <v>LC-130</v>
      </c>
      <c r="AC40" s="409">
        <v>44969</v>
      </c>
      <c r="AD40" s="409" t="str">
        <v>Yes</v>
      </c>
      <c r="AE40" s="409" t="str">
        <v>FY23 inter</v>
      </c>
      <c r="AF40" s="409" t="str">
        <v>FY23 intra</v>
      </c>
      <c r="AG40" s="409" t="str">
        <v>D. Gibson</v>
      </c>
      <c r="AH40" s="409">
        <v>44477</v>
      </c>
      <c r="AI40" s="409" t="str">
        <v>I. McEwen</v>
      </c>
      <c r="AJ40" s="409">
        <v>44477</v>
      </c>
      <c r="AK40" s="409" t="str">
        <v>One drill head shipped one year early for ull system wet-test</v>
      </c>
      <c r="AL40" s="9" t="str">
        <v/>
      </c>
    </row>
    <row r="41" spans="1:38" s="9" customFormat="1" ht="17.100000000000001" hidden="1">
      <c r="A41" s="25">
        <v>1.2</v>
      </c>
      <c r="B41" s="48" t="str">
        <v>Drill</v>
      </c>
      <c r="C41" s="18" t="str">
        <v>Drill Heads DNF - Y</v>
      </c>
      <c r="D41" s="41"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35">
        <v>805</v>
      </c>
      <c r="P41" s="428">
        <v>44440</v>
      </c>
      <c r="Q41" s="429" t="str">
        <v>UWM - PTH</v>
      </c>
      <c r="R41" s="428">
        <v>45245</v>
      </c>
      <c r="S41" s="431" t="str">
        <v>Truck</v>
      </c>
      <c r="T41" s="431" t="str">
        <v>PTH - MCM</v>
      </c>
      <c r="U41" s="431" t="str">
        <v>-</v>
      </c>
      <c r="V41" s="433" t="str">
        <v>USAP Vessel</v>
      </c>
      <c r="W41" s="433" t="str">
        <v>USAP Vessel</v>
      </c>
      <c r="X41" s="433" t="str">
        <v>-</v>
      </c>
      <c r="Y41" s="426" t="str">
        <v>-</v>
      </c>
      <c r="Z41" s="434">
        <v>45328</v>
      </c>
      <c r="AA41" s="427" t="str">
        <v>-</v>
      </c>
      <c r="AB41" s="435" t="str">
        <v>LC-130</v>
      </c>
      <c r="AC41" s="409">
        <v>45334</v>
      </c>
      <c r="AD41" s="409" t="str">
        <v>Yes</v>
      </c>
      <c r="AE41" s="409" t="str">
        <v>FY24 inter</v>
      </c>
      <c r="AF41" s="409" t="str">
        <v>FY24 intra</v>
      </c>
      <c r="AG41" s="409" t="str">
        <v>D. Gibson</v>
      </c>
      <c r="AH41" s="409">
        <v>44477</v>
      </c>
      <c r="AI41" s="409" t="str">
        <v>I. McEwen</v>
      </c>
      <c r="AJ41" s="409">
        <v>44477</v>
      </c>
      <c r="AK41" s="409" t="str">
        <v/>
      </c>
      <c r="AL41" s="9" t="str">
        <v/>
      </c>
    </row>
    <row r="42" spans="1:38" s="9" customFormat="1" ht="17.100000000000001" hidden="1">
      <c r="A42" s="25">
        <v>1.2</v>
      </c>
      <c r="B42" s="48" t="str">
        <v>Drill</v>
      </c>
      <c r="C42" s="18" t="str">
        <v>Drill Heads DNF - R</v>
      </c>
      <c r="D42" s="41"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35">
        <v>805</v>
      </c>
      <c r="P42" s="428">
        <v>44440</v>
      </c>
      <c r="Q42" s="429" t="str">
        <v>UWM - PTH</v>
      </c>
      <c r="R42" s="428">
        <v>45245</v>
      </c>
      <c r="S42" s="431" t="str">
        <v>Truck</v>
      </c>
      <c r="T42" s="431" t="str">
        <v>PTH - MCM</v>
      </c>
      <c r="U42" s="431" t="str">
        <v>-</v>
      </c>
      <c r="V42" s="433" t="str">
        <v>USAP Vessel</v>
      </c>
      <c r="W42" s="433" t="str">
        <v>USAP Vessel</v>
      </c>
      <c r="X42" s="433" t="str">
        <v>-</v>
      </c>
      <c r="Y42" s="426" t="str">
        <v>-</v>
      </c>
      <c r="Z42" s="434">
        <v>45328</v>
      </c>
      <c r="AA42" s="427" t="str">
        <v>-</v>
      </c>
      <c r="AB42" s="435" t="str">
        <v>LC-130</v>
      </c>
      <c r="AC42" s="409">
        <v>45334</v>
      </c>
      <c r="AD42" s="409" t="str">
        <v>Yes</v>
      </c>
      <c r="AE42" s="409" t="str">
        <v>FY24 inter</v>
      </c>
      <c r="AF42" s="409" t="str">
        <v>FY24 intra</v>
      </c>
      <c r="AG42" s="409" t="str">
        <v>D. Gibson</v>
      </c>
      <c r="AH42" s="409">
        <v>44477</v>
      </c>
      <c r="AI42" s="409" t="str">
        <v>I. McEwen</v>
      </c>
      <c r="AJ42" s="409">
        <v>44477</v>
      </c>
      <c r="AK42" s="409" t="str">
        <v/>
      </c>
      <c r="AL42" s="9" t="str">
        <v/>
      </c>
    </row>
    <row r="43" spans="1:38" ht="34.5" customHeight="1">
      <c r="A43" s="165">
        <v>1.2</v>
      </c>
      <c r="B43" s="166" t="str">
        <v>Drill</v>
      </c>
      <c r="C43" s="167" t="str">
        <v>Computing/controls components</v>
      </c>
      <c r="D43" s="167" t="str">
        <v>Computing and controls equipment (Sensor, motor drives and other sensitive electronics) - Do Not Freeze</v>
      </c>
      <c r="E43" s="154">
        <v>96</v>
      </c>
      <c r="F43" s="154">
        <v>48</v>
      </c>
      <c r="G43" s="154">
        <v>48</v>
      </c>
      <c r="H43" s="152">
        <v>1</v>
      </c>
      <c r="I43" s="153">
        <v>128</v>
      </c>
      <c r="J43" s="153">
        <v>3000</v>
      </c>
      <c r="K43" s="154">
        <v>3000</v>
      </c>
      <c r="L43" s="152" t="str">
        <v>estimated</v>
      </c>
      <c r="M43" s="168" t="str">
        <v>DNF</v>
      </c>
      <c r="N43" s="156" t="str">
        <v xml:space="preserve"> U. Wisc. Madison</v>
      </c>
      <c r="O43" s="407">
        <v>31</v>
      </c>
      <c r="P43" s="158">
        <v>45474</v>
      </c>
      <c r="Q43" s="158" t="str">
        <v>UWM - PTH</v>
      </c>
      <c r="R43" s="158">
        <v>45505</v>
      </c>
      <c r="S43" s="159" t="str">
        <v>Truck</v>
      </c>
      <c r="T43" s="160" t="str">
        <v>PTH - CHC</v>
      </c>
      <c r="U43" s="160" t="str">
        <v>-</v>
      </c>
      <c r="V43" s="161" t="str">
        <v>ComSur</v>
      </c>
      <c r="W43" s="162" t="str">
        <v>CHC-MCM</v>
      </c>
      <c r="X43" s="162" t="str">
        <v>-</v>
      </c>
      <c r="Y43" s="157" t="str">
        <v>USAP Air</v>
      </c>
      <c r="Z43" s="169">
        <v>45597</v>
      </c>
      <c r="AA43" s="163" t="str">
        <v>-</v>
      </c>
      <c r="AB43" s="157" t="str">
        <v>LC-130</v>
      </c>
      <c r="AC43" s="157">
        <v>45611</v>
      </c>
      <c r="AD43" s="163" t="str">
        <v>Yes</v>
      </c>
      <c r="AE43" s="163" t="str">
        <v>FY25 inter</v>
      </c>
      <c r="AF43" s="163" t="str">
        <v>FY25 intra</v>
      </c>
      <c r="AG43" s="157" t="str">
        <v>D. Gibson</v>
      </c>
      <c r="AH43" s="157">
        <v>44477</v>
      </c>
      <c r="AI43" s="157" t="str">
        <v>I. McEwen</v>
      </c>
      <c r="AJ43" s="157">
        <v>44477</v>
      </c>
      <c r="AK43" s="163" t="str">
        <v/>
      </c>
      <c r="AL43" s="146" t="str">
        <v/>
      </c>
    </row>
    <row r="44" spans="1:38" s="9" customFormat="1" ht="17.100000000000001" hidden="1">
      <c r="A44" s="67">
        <v>1.2</v>
      </c>
      <c r="B44" s="68" t="str">
        <v>Installation</v>
      </c>
      <c r="C44" s="19" t="str">
        <v xml:space="preserve">Installation Hardware  87-93 </v>
      </c>
      <c r="D44" s="19"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35">
        <v>123</v>
      </c>
      <c r="P44" s="443">
        <v>45122</v>
      </c>
      <c r="Q44" s="429" t="str">
        <v>UWM - PTH</v>
      </c>
      <c r="R44" s="428">
        <v>45245</v>
      </c>
      <c r="S44" s="430" t="str">
        <v>Truck</v>
      </c>
      <c r="T44" s="431" t="str">
        <v>PTH - MCM</v>
      </c>
      <c r="U44" s="431" t="str">
        <v>-</v>
      </c>
      <c r="V44" s="433" t="str">
        <v>USAP Vessel</v>
      </c>
      <c r="W44" s="433" t="str">
        <v>USAP Vessel</v>
      </c>
      <c r="X44" s="433" t="str">
        <v>-</v>
      </c>
      <c r="Y44" s="426" t="str">
        <v>-</v>
      </c>
      <c r="Z44" s="434">
        <v>45328</v>
      </c>
      <c r="AA44" s="427" t="str">
        <v>-</v>
      </c>
      <c r="AB44" s="435" t="str">
        <v>LC-130</v>
      </c>
      <c r="AC44" s="409">
        <v>45337</v>
      </c>
      <c r="AD44" s="409" t="str">
        <v>Yes</v>
      </c>
      <c r="AE44" s="409" t="str">
        <v>FY24 inter</v>
      </c>
      <c r="AF44" s="409" t="str">
        <v>FY24 intra</v>
      </c>
      <c r="AG44" s="409" t="str">
        <v>D. Tosi</v>
      </c>
      <c r="AH44" s="409">
        <v>44461</v>
      </c>
      <c r="AI44" s="409" t="str">
        <v>I. McEwen</v>
      </c>
      <c r="AJ44" s="409">
        <v>44461</v>
      </c>
      <c r="AK44" s="409" t="str">
        <v/>
      </c>
      <c r="AL44" s="9" t="str">
        <v/>
      </c>
    </row>
    <row r="45" spans="1:38" s="9" customFormat="1" ht="32.450000000000003" hidden="1"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35">
        <v>123</v>
      </c>
      <c r="P45" s="443">
        <v>45122</v>
      </c>
      <c r="Q45" s="429" t="str">
        <v>UWM - PTH</v>
      </c>
      <c r="R45" s="428">
        <v>45245</v>
      </c>
      <c r="S45" s="430" t="str">
        <v>Truck</v>
      </c>
      <c r="T45" s="431" t="str">
        <v>PTH - MCM</v>
      </c>
      <c r="U45" s="431" t="str">
        <v>-</v>
      </c>
      <c r="V45" s="433" t="str">
        <v>USAP Vessel</v>
      </c>
      <c r="W45" s="433" t="str">
        <v>USAP Vessel</v>
      </c>
      <c r="X45" s="433" t="str">
        <v>-</v>
      </c>
      <c r="Y45" s="426" t="str">
        <v>-</v>
      </c>
      <c r="Z45" s="434">
        <v>45328</v>
      </c>
      <c r="AA45" s="427" t="str">
        <v>-</v>
      </c>
      <c r="AB45" s="435" t="str">
        <v>LC-130</v>
      </c>
      <c r="AC45" s="409">
        <v>45337</v>
      </c>
      <c r="AD45" s="409" t="str">
        <v>Yes</v>
      </c>
      <c r="AE45" s="409" t="str">
        <v>FY24 inter</v>
      </c>
      <c r="AF45" s="409" t="str">
        <v>FY24 intra</v>
      </c>
      <c r="AG45" s="409" t="str">
        <v>D. Tosi</v>
      </c>
      <c r="AH45" s="409">
        <v>44461</v>
      </c>
      <c r="AI45" s="409" t="str">
        <v>I. McEwen</v>
      </c>
      <c r="AJ45" s="409">
        <v>44461</v>
      </c>
      <c r="AK45" s="409" t="str">
        <v/>
      </c>
      <c r="AL45" s="9" t="str">
        <v/>
      </c>
    </row>
    <row r="46" spans="1:38" s="9" customFormat="1" ht="17.100000000000001" hidden="1">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35">
        <v>244</v>
      </c>
      <c r="P46" s="443">
        <v>44895</v>
      </c>
      <c r="Q46" s="429" t="str">
        <v>UWM - PTH</v>
      </c>
      <c r="R46" s="428">
        <v>45139</v>
      </c>
      <c r="S46" s="430" t="str">
        <v>Truck</v>
      </c>
      <c r="T46" s="431" t="str">
        <v>PTH - CHC</v>
      </c>
      <c r="U46" s="431" t="str">
        <v>-</v>
      </c>
      <c r="V46" s="433" t="str">
        <v>ComSur</v>
      </c>
      <c r="W46" s="433" t="str">
        <v>CHC-MCM</v>
      </c>
      <c r="X46" s="433" t="str">
        <v>-</v>
      </c>
      <c r="Y46" s="435" t="str">
        <v>USAP Air</v>
      </c>
      <c r="Z46" s="434">
        <v>45231</v>
      </c>
      <c r="AA46" s="409" t="str">
        <v>-</v>
      </c>
      <c r="AB46" s="435" t="str">
        <v>LC-130</v>
      </c>
      <c r="AC46" s="409">
        <v>45275</v>
      </c>
      <c r="AD46" s="409" t="str">
        <v>Yes</v>
      </c>
      <c r="AE46" s="409" t="str">
        <v>FY24 inter</v>
      </c>
      <c r="AF46" s="409" t="str">
        <v>FY24 intra</v>
      </c>
      <c r="AG46" s="409" t="str">
        <v>D. Williams</v>
      </c>
      <c r="AH46" s="409">
        <v>44482</v>
      </c>
      <c r="AI46" s="409" t="str">
        <v>D. Tosi</v>
      </c>
      <c r="AJ46" s="409">
        <v>44482</v>
      </c>
      <c r="AK46" s="409" t="str">
        <v/>
      </c>
      <c r="AL46" s="409" t="str">
        <v/>
      </c>
    </row>
    <row r="47" spans="1:38" s="9" customFormat="1" ht="68.099999999999994" hidden="1">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35">
        <v>212</v>
      </c>
      <c r="P47" s="443">
        <v>44927</v>
      </c>
      <c r="Q47" s="429" t="str">
        <v>UWM - PTH</v>
      </c>
      <c r="R47" s="428">
        <v>45139</v>
      </c>
      <c r="S47" s="430" t="str">
        <v>Truck</v>
      </c>
      <c r="T47" s="431" t="str">
        <v>PTH - CHC</v>
      </c>
      <c r="U47" s="431" t="str">
        <v>-</v>
      </c>
      <c r="V47" s="433" t="str">
        <v>ComSur</v>
      </c>
      <c r="W47" s="433" t="str">
        <v>CHC-MCM</v>
      </c>
      <c r="X47" s="433" t="str">
        <v>-</v>
      </c>
      <c r="Y47" s="435" t="str">
        <v>USAP Air</v>
      </c>
      <c r="Z47" s="434">
        <v>45231</v>
      </c>
      <c r="AA47" s="427" t="str">
        <v>-</v>
      </c>
      <c r="AB47" s="435" t="str">
        <v>LC-130</v>
      </c>
      <c r="AC47" s="409">
        <v>45275</v>
      </c>
      <c r="AD47" s="409" t="str">
        <v>Yes</v>
      </c>
      <c r="AE47" s="409" t="str">
        <v>FY24 inter</v>
      </c>
      <c r="AF47" s="409" t="str">
        <v>FY24 intra</v>
      </c>
      <c r="AG47" s="409" t="str">
        <v>S. Boeser</v>
      </c>
      <c r="AH47" s="409">
        <v>44482</v>
      </c>
      <c r="AI47" s="409" t="str">
        <v>D. Tosi</v>
      </c>
      <c r="AJ47" s="409">
        <v>44482</v>
      </c>
      <c r="AK47" s="409" t="str">
        <v>4+1 Radio Pulser, weight  50 kg. 1+1 Radio receiver, assume mDOM weight, 3+1 FOM (assume mDOM weight) + 2ftx2ftx4ft FOM box (50 lbs).  Special Devices from UW. FTS, seismometer missing from estimate.  250 lbs crate estimate</v>
      </c>
      <c r="AL47" s="9" t="str">
        <v/>
      </c>
    </row>
    <row r="48" spans="1:38" s="9" customFormat="1" ht="30" hidden="1"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35">
        <v>61</v>
      </c>
      <c r="P48" s="428">
        <v>45078</v>
      </c>
      <c r="Q48" s="429" t="str">
        <v>UWM - PTH</v>
      </c>
      <c r="R48" s="428">
        <v>45139</v>
      </c>
      <c r="S48" s="430" t="str">
        <v>Truck</v>
      </c>
      <c r="T48" s="431" t="str">
        <v>PTH - CHC</v>
      </c>
      <c r="U48" s="431" t="str">
        <v>-</v>
      </c>
      <c r="V48" s="433" t="str">
        <v>ComSur</v>
      </c>
      <c r="W48" s="433" t="str">
        <v>CHC-MCM</v>
      </c>
      <c r="X48" s="433" t="str">
        <v>-</v>
      </c>
      <c r="Y48" s="435" t="str">
        <v>USAP Air</v>
      </c>
      <c r="Z48" s="434">
        <v>45231</v>
      </c>
      <c r="AA48" s="427" t="str">
        <v>-</v>
      </c>
      <c r="AB48" s="435" t="str">
        <v>LC-130</v>
      </c>
      <c r="AC48" s="409">
        <v>45261</v>
      </c>
      <c r="AD48" s="409" t="str">
        <v>Yes</v>
      </c>
      <c r="AE48" s="409" t="str">
        <v>FY24 inter</v>
      </c>
      <c r="AF48" s="409" t="str">
        <v>FY24 intra</v>
      </c>
      <c r="AG48" s="409" t="str">
        <v>T. Karg</v>
      </c>
      <c r="AH48" s="409">
        <v>44477</v>
      </c>
      <c r="AI48" s="409" t="str">
        <v>D. Tosi</v>
      </c>
      <c r="AJ48" s="409">
        <v>44477</v>
      </c>
      <c r="AK48" s="409" t="str">
        <v/>
      </c>
      <c r="AL48" s="9" t="str">
        <v/>
      </c>
    </row>
    <row r="49" spans="1:40" ht="32.450000000000003" customHeight="1">
      <c r="A49" s="165">
        <v>1.3</v>
      </c>
      <c r="B49" s="166" t="str">
        <v>Installation</v>
      </c>
      <c r="C49" s="385" t="str">
        <v>Special Devices 89-93</v>
      </c>
      <c r="D49" s="167" t="str">
        <v>Special devices for 5 remaining strings from UW (4+1 FOM,2+1 Radio Receivers, 11+1 LOM + seismometer*) - Do Not Deep Freeze</v>
      </c>
      <c r="E49" s="152">
        <v>81</v>
      </c>
      <c r="F49" s="152">
        <v>56</v>
      </c>
      <c r="G49" s="152">
        <v>51</v>
      </c>
      <c r="H49" s="152">
        <v>1</v>
      </c>
      <c r="I49" s="153">
        <v>133.875</v>
      </c>
      <c r="J49" s="153">
        <v>1797</v>
      </c>
      <c r="K49" s="154">
        <v>1797</v>
      </c>
      <c r="L49" s="152" t="str">
        <v>estimated</v>
      </c>
      <c r="M49" s="168" t="str">
        <v>DNDF [-40C]</v>
      </c>
      <c r="N49" s="156" t="str">
        <v>UWM/Kansas</v>
      </c>
      <c r="O49" s="407">
        <v>213</v>
      </c>
      <c r="P49" s="158">
        <v>45292</v>
      </c>
      <c r="Q49" s="158" t="str">
        <v>UWM - PTH</v>
      </c>
      <c r="R49" s="158">
        <v>45505</v>
      </c>
      <c r="S49" s="159" t="str">
        <v>Truck</v>
      </c>
      <c r="T49" s="160" t="str">
        <v>PTH - CHC</v>
      </c>
      <c r="U49" s="160" t="str">
        <v>-</v>
      </c>
      <c r="V49" s="162" t="str">
        <v>ComAir</v>
      </c>
      <c r="W49" s="162" t="str">
        <v>CHC-MCM</v>
      </c>
      <c r="X49" s="162" t="str">
        <v>-</v>
      </c>
      <c r="Y49" s="157" t="str">
        <v>USAP Air</v>
      </c>
      <c r="Z49" s="169">
        <v>45597</v>
      </c>
      <c r="AA49" s="156" t="str">
        <v>-</v>
      </c>
      <c r="AB49" s="157" t="str">
        <v>LC-130</v>
      </c>
      <c r="AC49" s="157">
        <v>45621</v>
      </c>
      <c r="AD49" s="163" t="str">
        <v>Yes</v>
      </c>
      <c r="AE49" s="163" t="str">
        <v>FY25 inter</v>
      </c>
      <c r="AF49" s="163" t="str">
        <v>FY25 intra</v>
      </c>
      <c r="AG49" s="157" t="str">
        <v>S. Boeser</v>
      </c>
      <c r="AH49" s="157">
        <v>44482</v>
      </c>
      <c r="AI49" s="157" t="str">
        <v>D. Tosi</v>
      </c>
      <c r="AJ49" s="157">
        <v>44482</v>
      </c>
      <c r="AK49" s="163" t="str">
        <v xml:space="preserve">21 Special Devices from USA (11+ 1 LOM, 4+1 FOM, 2+1 RR, FTS ? , seismometer), assume mDOM weight. 200 lbs wood crate. FTS not included. (*) Seismometer not yet in CMD </v>
      </c>
      <c r="AL49" s="146" t="str">
        <v/>
      </c>
    </row>
    <row r="50" spans="1:40" ht="32.450000000000003" customHeight="1">
      <c r="A50" s="165">
        <v>1.5</v>
      </c>
      <c r="B50" s="166" t="str">
        <v>Installation</v>
      </c>
      <c r="C50" s="167" t="str">
        <v>Calibration/Special Devices  89-93</v>
      </c>
      <c r="D50" s="167" t="str">
        <v>8+1 PencilBeams, 12+1 pDOMs from UW - Do Not Deep Freeze</v>
      </c>
      <c r="E50" s="152">
        <v>75</v>
      </c>
      <c r="F50" s="152">
        <v>56.5</v>
      </c>
      <c r="G50" s="152">
        <v>41</v>
      </c>
      <c r="H50" s="152">
        <v>1</v>
      </c>
      <c r="I50" s="153">
        <v>100.54253472222223</v>
      </c>
      <c r="J50" s="153">
        <v>1602</v>
      </c>
      <c r="K50" s="154">
        <v>1602</v>
      </c>
      <c r="L50" s="152" t="str">
        <v>preliminary</v>
      </c>
      <c r="M50" s="168" t="str">
        <v>DNDF [-40C]</v>
      </c>
      <c r="N50" s="156" t="str">
        <v xml:space="preserve"> U. Wisc. Madison</v>
      </c>
      <c r="O50" s="407">
        <v>352</v>
      </c>
      <c r="P50" s="158">
        <v>45153</v>
      </c>
      <c r="Q50" s="158" t="str">
        <v>UWM - PTH</v>
      </c>
      <c r="R50" s="158">
        <v>45505</v>
      </c>
      <c r="S50" s="159" t="str">
        <v>Truck</v>
      </c>
      <c r="T50" s="160" t="str">
        <v>PTH - CHC</v>
      </c>
      <c r="U50" s="160" t="str">
        <v>-</v>
      </c>
      <c r="V50" s="162" t="str">
        <v>ComSur</v>
      </c>
      <c r="W50" s="162" t="str">
        <v>CHC-MCM</v>
      </c>
      <c r="X50" s="162" t="str">
        <v>-</v>
      </c>
      <c r="Y50" s="157" t="str">
        <v>USAP Air</v>
      </c>
      <c r="Z50" s="169">
        <v>45597</v>
      </c>
      <c r="AA50" s="156" t="str">
        <v>-</v>
      </c>
      <c r="AB50" s="157" t="str">
        <v>LC-130</v>
      </c>
      <c r="AC50" s="157">
        <v>45621</v>
      </c>
      <c r="AD50" s="163" t="str">
        <v>Yes</v>
      </c>
      <c r="AE50" s="163" t="str">
        <v>FY25 inter</v>
      </c>
      <c r="AF50" s="163" t="str">
        <v>FY25 intra</v>
      </c>
      <c r="AG50" s="157" t="str">
        <v>D. Williams</v>
      </c>
      <c r="AH50" s="157">
        <v>44482</v>
      </c>
      <c r="AI50" s="157" t="str">
        <v>D. Tosi</v>
      </c>
      <c r="AJ50" s="157">
        <v>44474</v>
      </c>
      <c r="AK50" s="163" t="str">
        <v xml:space="preserve">8+1 PencilBeams for strings 89-93, 12+1 pDOMs, assume mDOM weight. 244 lbs crate. </v>
      </c>
      <c r="AL50" s="146" t="str">
        <v/>
      </c>
    </row>
    <row r="51" spans="1:40" ht="27" customHeight="1">
      <c r="A51" s="165">
        <v>1.2</v>
      </c>
      <c r="B51" s="166" t="str">
        <v>Installation</v>
      </c>
      <c r="C51" s="164" t="str">
        <v>Misc. Science Equipment - FY25</v>
      </c>
      <c r="D51" s="164" t="str">
        <v>Scientific and test equipment  (Handheld test devices, Paros, et al.) - Do Not Freeze</v>
      </c>
      <c r="E51" s="176">
        <v>48</v>
      </c>
      <c r="F51" s="176">
        <v>48</v>
      </c>
      <c r="G51" s="176">
        <v>48</v>
      </c>
      <c r="H51" s="152">
        <v>1</v>
      </c>
      <c r="I51" s="153">
        <v>64</v>
      </c>
      <c r="J51" s="153">
        <v>1500</v>
      </c>
      <c r="K51" s="154">
        <v>1500</v>
      </c>
      <c r="L51" s="176" t="str">
        <v>estimated</v>
      </c>
      <c r="M51" s="177" t="str">
        <v>DNF</v>
      </c>
      <c r="N51" s="156" t="str">
        <v xml:space="preserve"> U. Wisc. Madison</v>
      </c>
      <c r="O51" s="407">
        <v>61</v>
      </c>
      <c r="P51" s="158">
        <v>45444</v>
      </c>
      <c r="Q51" s="158" t="str">
        <v>UWM - PTH</v>
      </c>
      <c r="R51" s="158">
        <v>45505</v>
      </c>
      <c r="S51" s="159" t="str">
        <v>Truck</v>
      </c>
      <c r="T51" s="160" t="str">
        <v>PTH - CHC</v>
      </c>
      <c r="U51" s="160" t="str">
        <v>-</v>
      </c>
      <c r="V51" s="162" t="str">
        <v>ComSur</v>
      </c>
      <c r="W51" s="162" t="str">
        <v>CHC-MCM</v>
      </c>
      <c r="X51" s="162" t="str">
        <v>-</v>
      </c>
      <c r="Y51" s="157" t="str">
        <v>USAP Air</v>
      </c>
      <c r="Z51" s="169">
        <v>45597</v>
      </c>
      <c r="AA51" s="156" t="str">
        <v>-</v>
      </c>
      <c r="AB51" s="157" t="str">
        <v>LC-130</v>
      </c>
      <c r="AC51" s="157">
        <v>45627</v>
      </c>
      <c r="AD51" s="163" t="str">
        <v>Yes</v>
      </c>
      <c r="AE51" s="163" t="str">
        <v>FY25 inter</v>
      </c>
      <c r="AF51" s="163" t="str">
        <v>FY25 intra</v>
      </c>
      <c r="AG51" s="157" t="str">
        <v>D. Tosi</v>
      </c>
      <c r="AH51" s="157">
        <v>44477</v>
      </c>
      <c r="AI51" s="157" t="str">
        <v>D. Tosi</v>
      </c>
      <c r="AJ51" s="157">
        <v>44477</v>
      </c>
      <c r="AK51" s="163" t="str">
        <v/>
      </c>
      <c r="AL51" s="146" t="str">
        <v/>
      </c>
    </row>
    <row r="52" spans="1:40" ht="33.950000000000003">
      <c r="A52" s="165">
        <v>1.5</v>
      </c>
      <c r="B52" s="166" t="str">
        <v>Installation</v>
      </c>
      <c r="C52" s="167" t="str">
        <v>Dust logging device</v>
      </c>
      <c r="D52" s="167" t="str">
        <v>Blue Logging device - sensitive equipment - Do Not Freeze</v>
      </c>
      <c r="E52" s="152">
        <v>48</v>
      </c>
      <c r="F52" s="152">
        <v>17</v>
      </c>
      <c r="G52" s="152">
        <v>17</v>
      </c>
      <c r="H52" s="152">
        <v>1</v>
      </c>
      <c r="I52" s="153">
        <v>8.0277777777777786</v>
      </c>
      <c r="J52" s="153">
        <v>60</v>
      </c>
      <c r="K52" s="154">
        <v>60</v>
      </c>
      <c r="L52" s="152" t="str">
        <v>actual</v>
      </c>
      <c r="M52" s="168" t="str">
        <v>DNF</v>
      </c>
      <c r="N52" s="156" t="str">
        <v xml:space="preserve"> U. Wisc. Madison</v>
      </c>
      <c r="O52" s="407">
        <v>61</v>
      </c>
      <c r="P52" s="158">
        <v>45444</v>
      </c>
      <c r="Q52" s="158" t="str">
        <v>UWM - PTH</v>
      </c>
      <c r="R52" s="158">
        <v>45505</v>
      </c>
      <c r="S52" s="159" t="str">
        <v>Truck</v>
      </c>
      <c r="T52" s="160" t="str">
        <v>PTH - CHC</v>
      </c>
      <c r="U52" s="160" t="str">
        <v>-</v>
      </c>
      <c r="V52" s="162" t="str">
        <v>ComAir</v>
      </c>
      <c r="W52" s="162" t="str">
        <v>CHC-MCM</v>
      </c>
      <c r="X52" s="162" t="str">
        <v>-</v>
      </c>
      <c r="Y52" s="157" t="str">
        <v>USAP Air</v>
      </c>
      <c r="Z52" s="169">
        <v>45597</v>
      </c>
      <c r="AA52" s="156" t="str">
        <v>-</v>
      </c>
      <c r="AB52" s="157" t="str">
        <v>LC-130</v>
      </c>
      <c r="AC52" s="157">
        <v>45621</v>
      </c>
      <c r="AD52" s="163" t="str">
        <v>Yes</v>
      </c>
      <c r="AE52" s="163" t="str">
        <v>FY25 inter</v>
      </c>
      <c r="AF52" s="163" t="str">
        <v>FY25 intra</v>
      </c>
      <c r="AG52" s="157" t="str">
        <v>D. Williams</v>
      </c>
      <c r="AH52" s="157">
        <v>44483</v>
      </c>
      <c r="AI52" s="157" t="str">
        <v>D. Tosi</v>
      </c>
      <c r="AJ52" s="157">
        <v>44457</v>
      </c>
      <c r="AK52" s="163" t="str">
        <v>Used weights from last deployment season shipment data (could be combined)</v>
      </c>
      <c r="AL52" s="146" t="str">
        <v/>
      </c>
    </row>
    <row r="53" spans="1:40" ht="33.950000000000003">
      <c r="A53" s="165">
        <v>1.5</v>
      </c>
      <c r="B53" s="166" t="str">
        <v>Installation</v>
      </c>
      <c r="C53" s="167" t="str">
        <v>Dust logging device</v>
      </c>
      <c r="D53" s="167" t="str">
        <v>Green Logging device - sensitive equipment - Do Not Freeze</v>
      </c>
      <c r="E53" s="152">
        <v>48</v>
      </c>
      <c r="F53" s="152">
        <v>17</v>
      </c>
      <c r="G53" s="152">
        <v>17</v>
      </c>
      <c r="H53" s="152">
        <v>1</v>
      </c>
      <c r="I53" s="153">
        <v>8.0277777777777786</v>
      </c>
      <c r="J53" s="153">
        <v>60</v>
      </c>
      <c r="K53" s="154">
        <v>60</v>
      </c>
      <c r="L53" s="152" t="str">
        <v>actual</v>
      </c>
      <c r="M53" s="168" t="str">
        <v>DNF</v>
      </c>
      <c r="N53" s="156" t="str">
        <v xml:space="preserve"> U. Wisc. Madison</v>
      </c>
      <c r="O53" s="407">
        <v>61</v>
      </c>
      <c r="P53" s="158">
        <v>45444</v>
      </c>
      <c r="Q53" s="158" t="str">
        <v>UWM - PTH</v>
      </c>
      <c r="R53" s="158">
        <v>45505</v>
      </c>
      <c r="S53" s="159" t="str">
        <v>Truck</v>
      </c>
      <c r="T53" s="160" t="str">
        <v>PTH - CHC</v>
      </c>
      <c r="U53" s="160" t="str">
        <v>-</v>
      </c>
      <c r="V53" s="162" t="str">
        <v>ComAir</v>
      </c>
      <c r="W53" s="162" t="str">
        <v>CHC-MCM</v>
      </c>
      <c r="X53" s="162" t="str">
        <v>-</v>
      </c>
      <c r="Y53" s="157" t="str">
        <v>USAP Air</v>
      </c>
      <c r="Z53" s="169">
        <v>45597</v>
      </c>
      <c r="AA53" s="156" t="str">
        <v>-</v>
      </c>
      <c r="AB53" s="157" t="str">
        <v>LC-130</v>
      </c>
      <c r="AC53" s="157">
        <v>45621</v>
      </c>
      <c r="AD53" s="163" t="str">
        <v>Yes</v>
      </c>
      <c r="AE53" s="163" t="str">
        <v>FY25 inter</v>
      </c>
      <c r="AF53" s="163" t="str">
        <v>FY25 intra</v>
      </c>
      <c r="AG53" s="157" t="str">
        <v>D. Williams</v>
      </c>
      <c r="AH53" s="157">
        <v>44483</v>
      </c>
      <c r="AI53" s="157" t="str">
        <v>D. Tosi</v>
      </c>
      <c r="AJ53" s="157">
        <v>44458</v>
      </c>
      <c r="AK53" s="163" t="str">
        <v>Used weights from last deployment season shipment data (could be combined)</v>
      </c>
      <c r="AL53" s="146" t="str">
        <v/>
      </c>
    </row>
    <row r="54" spans="1:40" ht="33.950000000000003">
      <c r="A54" s="165">
        <v>1.5</v>
      </c>
      <c r="B54" s="166" t="str">
        <v>Installation</v>
      </c>
      <c r="C54" s="167" t="str">
        <v>Dust logging device</v>
      </c>
      <c r="D54" s="167" t="str">
        <v>Electronics parts - sensitive equipment - Do Not Freeze</v>
      </c>
      <c r="E54" s="152">
        <v>26</v>
      </c>
      <c r="F54" s="152">
        <v>24</v>
      </c>
      <c r="G54" s="152">
        <v>24</v>
      </c>
      <c r="H54" s="152">
        <v>1</v>
      </c>
      <c r="I54" s="153">
        <v>8.6666666666666661</v>
      </c>
      <c r="J54" s="153">
        <v>120</v>
      </c>
      <c r="K54" s="154">
        <v>120</v>
      </c>
      <c r="L54" s="152" t="str">
        <v>actual</v>
      </c>
      <c r="M54" s="168" t="str">
        <v>DNF</v>
      </c>
      <c r="N54" s="156" t="str">
        <v xml:space="preserve"> U. Wisc. Madison</v>
      </c>
      <c r="O54" s="407">
        <v>61</v>
      </c>
      <c r="P54" s="158">
        <v>45444</v>
      </c>
      <c r="Q54" s="158" t="str">
        <v>UWM - PTH</v>
      </c>
      <c r="R54" s="158">
        <v>45505</v>
      </c>
      <c r="S54" s="159" t="str">
        <v>Truck</v>
      </c>
      <c r="T54" s="160" t="str">
        <v>PTH - CHC</v>
      </c>
      <c r="U54" s="160" t="str">
        <v>-</v>
      </c>
      <c r="V54" s="162" t="str">
        <v>ComAir</v>
      </c>
      <c r="W54" s="162" t="str">
        <v>CHC-MCM</v>
      </c>
      <c r="X54" s="162" t="str">
        <v>-</v>
      </c>
      <c r="Y54" s="157" t="str">
        <v>USAP Air</v>
      </c>
      <c r="Z54" s="169">
        <v>45597</v>
      </c>
      <c r="AA54" s="156" t="str">
        <v>-</v>
      </c>
      <c r="AB54" s="157" t="str">
        <v>LC-130</v>
      </c>
      <c r="AC54" s="157">
        <v>45621</v>
      </c>
      <c r="AD54" s="163" t="str">
        <v>Yes</v>
      </c>
      <c r="AE54" s="163" t="str">
        <v>FY25 inter</v>
      </c>
      <c r="AF54" s="163" t="str">
        <v>FY25 intra</v>
      </c>
      <c r="AG54" s="157" t="str">
        <v>D. Williams</v>
      </c>
      <c r="AH54" s="157">
        <v>44483</v>
      </c>
      <c r="AI54" s="157" t="str">
        <v>D. Tosi</v>
      </c>
      <c r="AJ54" s="157">
        <v>44459</v>
      </c>
      <c r="AK54" s="163" t="str">
        <v>Used weights from last deployment season shipment data (could be combined)</v>
      </c>
      <c r="AL54" s="146" t="str">
        <v/>
      </c>
    </row>
    <row r="55" spans="1:40" ht="33.950000000000003">
      <c r="A55" s="165">
        <v>1.5</v>
      </c>
      <c r="B55" s="166" t="str">
        <v>Installation</v>
      </c>
      <c r="C55" s="167" t="str">
        <v>Dust logging device</v>
      </c>
      <c r="D55" s="167" t="str">
        <v>Electronics parts - sensitive equipment - Do Not Freeze</v>
      </c>
      <c r="E55" s="152">
        <v>26</v>
      </c>
      <c r="F55" s="152">
        <v>23</v>
      </c>
      <c r="G55" s="152">
        <v>20</v>
      </c>
      <c r="H55" s="152">
        <v>1</v>
      </c>
      <c r="I55" s="153">
        <v>6.9212962962962967</v>
      </c>
      <c r="J55" s="153">
        <v>60</v>
      </c>
      <c r="K55" s="154">
        <v>60</v>
      </c>
      <c r="L55" s="152" t="str">
        <v>actual</v>
      </c>
      <c r="M55" s="168" t="str">
        <v>DNF</v>
      </c>
      <c r="N55" s="156" t="str">
        <v xml:space="preserve"> U. Wisc. Madison</v>
      </c>
      <c r="O55" s="407">
        <v>61</v>
      </c>
      <c r="P55" s="158">
        <v>45444</v>
      </c>
      <c r="Q55" s="158" t="str">
        <v>UWM - PTH</v>
      </c>
      <c r="R55" s="158">
        <v>45505</v>
      </c>
      <c r="S55" s="159" t="str">
        <v>Truck</v>
      </c>
      <c r="T55" s="160" t="str">
        <v>PTH - CHC</v>
      </c>
      <c r="U55" s="160" t="str">
        <v>-</v>
      </c>
      <c r="V55" s="162" t="str">
        <v>ComAir</v>
      </c>
      <c r="W55" s="162" t="str">
        <v>CHC-MCM</v>
      </c>
      <c r="X55" s="162" t="str">
        <v>-</v>
      </c>
      <c r="Y55" s="157" t="str">
        <v>USAP Air</v>
      </c>
      <c r="Z55" s="169">
        <v>45597</v>
      </c>
      <c r="AA55" s="156" t="str">
        <v>-</v>
      </c>
      <c r="AB55" s="157" t="str">
        <v>LC-130</v>
      </c>
      <c r="AC55" s="157">
        <v>45621</v>
      </c>
      <c r="AD55" s="163" t="str">
        <v>Yes</v>
      </c>
      <c r="AE55" s="163" t="str">
        <v>FY25 inter</v>
      </c>
      <c r="AF55" s="163" t="str">
        <v>FY25 intra</v>
      </c>
      <c r="AG55" s="157" t="str">
        <v>D. Williams</v>
      </c>
      <c r="AH55" s="157">
        <v>44483</v>
      </c>
      <c r="AI55" s="157" t="str">
        <v>D. Tosi</v>
      </c>
      <c r="AJ55" s="157">
        <v>44460</v>
      </c>
      <c r="AK55" s="163" t="str">
        <v>Used weights from last deployment season shipment data (could be combined)</v>
      </c>
      <c r="AL55" s="146" t="str">
        <v/>
      </c>
    </row>
    <row r="56" spans="1:40" ht="33.950000000000003">
      <c r="A56" s="165">
        <v>1.5</v>
      </c>
      <c r="B56" s="166" t="str">
        <v>Installation</v>
      </c>
      <c r="C56" s="167" t="str">
        <v>Logging winch</v>
      </c>
      <c r="D56" s="167" t="str">
        <v xml:space="preserve">Winch to be used for Dust Logging </v>
      </c>
      <c r="E56" s="152">
        <v>86</v>
      </c>
      <c r="F56" s="152">
        <v>60</v>
      </c>
      <c r="G56" s="152">
        <v>68</v>
      </c>
      <c r="H56" s="152">
        <v>1</v>
      </c>
      <c r="I56" s="153">
        <v>203.05555555555554</v>
      </c>
      <c r="J56" s="153">
        <v>3500</v>
      </c>
      <c r="K56" s="154">
        <v>3500</v>
      </c>
      <c r="L56" s="152" t="str">
        <v>preliminary</v>
      </c>
      <c r="M56" s="168" t="str">
        <v/>
      </c>
      <c r="N56" s="156" t="str">
        <v xml:space="preserve"> U. Wisc. Madison</v>
      </c>
      <c r="O56" s="407">
        <v>61</v>
      </c>
      <c r="P56" s="158">
        <v>45444</v>
      </c>
      <c r="Q56" s="158" t="str">
        <v>UWM - PTH</v>
      </c>
      <c r="R56" s="158">
        <v>45505</v>
      </c>
      <c r="S56" s="159" t="str">
        <v>Truck</v>
      </c>
      <c r="T56" s="160" t="str">
        <v>PTH - CHC</v>
      </c>
      <c r="U56" s="160" t="str">
        <v>-</v>
      </c>
      <c r="V56" s="162" t="str">
        <v>ComAir</v>
      </c>
      <c r="W56" s="162" t="str">
        <v>CHC-MCM</v>
      </c>
      <c r="X56" s="162" t="str">
        <v>-</v>
      </c>
      <c r="Y56" s="157" t="str">
        <v>USAP Air</v>
      </c>
      <c r="Z56" s="169">
        <v>45597</v>
      </c>
      <c r="AA56" s="156" t="str">
        <v>-</v>
      </c>
      <c r="AB56" s="157" t="str">
        <v>LC-130</v>
      </c>
      <c r="AC56" s="157">
        <v>45621</v>
      </c>
      <c r="AD56" s="163" t="str">
        <v>Yes</v>
      </c>
      <c r="AE56" s="163" t="str">
        <v>FY25 inter</v>
      </c>
      <c r="AF56" s="163" t="str">
        <v>FY25 intra</v>
      </c>
      <c r="AG56" s="157" t="str">
        <v>D. Tosi</v>
      </c>
      <c r="AH56" s="157">
        <v>44477</v>
      </c>
      <c r="AI56" s="157" t="str">
        <v>I. McEwen</v>
      </c>
      <c r="AJ56" s="157">
        <v>44477</v>
      </c>
      <c r="AK56" s="163" t="str">
        <v>Used weights and cubes of IDP deep logging winch. Send back end of season</v>
      </c>
      <c r="AL56" s="146" t="str">
        <v/>
      </c>
    </row>
    <row r="57" spans="1:40" ht="33.950000000000003">
      <c r="A57" s="165">
        <v>1.5</v>
      </c>
      <c r="B57" s="166" t="str">
        <v>Installation</v>
      </c>
      <c r="C57" s="167" t="str">
        <v>Logging winch control box</v>
      </c>
      <c r="D57" s="167" t="str">
        <v>Control Box for winch for Dust Logging  - sensitive equipment - Do Not Freeze</v>
      </c>
      <c r="E57" s="152">
        <v>48</v>
      </c>
      <c r="F57" s="152">
        <v>48</v>
      </c>
      <c r="G57" s="152">
        <v>36</v>
      </c>
      <c r="H57" s="152">
        <v>1</v>
      </c>
      <c r="I57" s="153">
        <v>48</v>
      </c>
      <c r="J57" s="153">
        <v>400</v>
      </c>
      <c r="K57" s="154">
        <v>400</v>
      </c>
      <c r="L57" s="152" t="str">
        <v>preliminary</v>
      </c>
      <c r="M57" s="168" t="str">
        <v>DNF</v>
      </c>
      <c r="N57" s="156" t="str">
        <v xml:space="preserve"> U. Wisc. Madison</v>
      </c>
      <c r="O57" s="407">
        <v>61</v>
      </c>
      <c r="P57" s="158">
        <v>45444</v>
      </c>
      <c r="Q57" s="158" t="str">
        <v>UWM - PTH</v>
      </c>
      <c r="R57" s="158">
        <v>45505</v>
      </c>
      <c r="S57" s="159" t="str">
        <v>Truck</v>
      </c>
      <c r="T57" s="160" t="str">
        <v>PTH - CHC</v>
      </c>
      <c r="U57" s="160" t="str">
        <v>-</v>
      </c>
      <c r="V57" s="162" t="str">
        <v>ComAir</v>
      </c>
      <c r="W57" s="162" t="str">
        <v>CHC-MCM</v>
      </c>
      <c r="X57" s="162" t="str">
        <v>-</v>
      </c>
      <c r="Y57" s="157" t="str">
        <v>USAP Air</v>
      </c>
      <c r="Z57" s="169">
        <v>45597</v>
      </c>
      <c r="AA57" s="156" t="str">
        <v>-</v>
      </c>
      <c r="AB57" s="157" t="str">
        <v>LC-130</v>
      </c>
      <c r="AC57" s="157">
        <v>45621</v>
      </c>
      <c r="AD57" s="163" t="str">
        <v>Yes</v>
      </c>
      <c r="AE57" s="163" t="str">
        <v>FY25 inter</v>
      </c>
      <c r="AF57" s="163" t="str">
        <v>FY25 intra</v>
      </c>
      <c r="AG57" s="157" t="str">
        <v>D. Tosi</v>
      </c>
      <c r="AH57" s="157">
        <v>44477</v>
      </c>
      <c r="AI57" s="157" t="str">
        <v>I. McEwen</v>
      </c>
      <c r="AJ57" s="157">
        <v>44477</v>
      </c>
      <c r="AK57" s="163" t="str">
        <v>Used weights and cubes of IDP deep logging winch. Send back end of season</v>
      </c>
      <c r="AL57" s="146"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s="9" customFormat="1" ht="30" hidden="1" customHeight="1" thickTop="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35">
        <v>14</v>
      </c>
      <c r="P59" s="428">
        <v>44866</v>
      </c>
      <c r="Q59" s="429" t="str">
        <v>MSU - PTH</v>
      </c>
      <c r="R59" s="428">
        <v>44880</v>
      </c>
      <c r="S59" s="430" t="str">
        <v>Truck</v>
      </c>
      <c r="T59" s="431" t="str">
        <v>PTH - MCM</v>
      </c>
      <c r="U59" s="431" t="str">
        <v>-</v>
      </c>
      <c r="V59" s="433" t="str">
        <v>USAP Vessel</v>
      </c>
      <c r="W59" s="433" t="str">
        <v>USAP Vessel</v>
      </c>
      <c r="X59" s="433" t="str">
        <v>-</v>
      </c>
      <c r="Y59" s="426" t="str">
        <v>-</v>
      </c>
      <c r="Z59" s="434">
        <v>44963</v>
      </c>
      <c r="AA59" s="409" t="str">
        <v>-</v>
      </c>
      <c r="AB59" s="435" t="str">
        <v>LC-130/SPoT</v>
      </c>
      <c r="AC59" s="409">
        <v>45270</v>
      </c>
      <c r="AD59" s="409" t="str">
        <v>Yes</v>
      </c>
      <c r="AE59" s="409" t="str">
        <v>FY23 inter</v>
      </c>
      <c r="AF59" s="409" t="str">
        <v>FY24 intra</v>
      </c>
      <c r="AG59" s="409" t="str">
        <v>T. DeYoung</v>
      </c>
      <c r="AH59" s="409">
        <v>44482</v>
      </c>
      <c r="AI59" s="409" t="str">
        <v>D. Tosi</v>
      </c>
      <c r="AJ59" s="409">
        <v>44480</v>
      </c>
      <c r="AK59" s="409" t="str">
        <v>Each is 66" x 30" x 14", each is 112 lbs. Assume Folding crate. Simple passive objects, work plan can probably be shifted to increase float.</v>
      </c>
      <c r="AL59" s="9" t="str">
        <v/>
      </c>
    </row>
    <row r="60" spans="1:40" s="9" customFormat="1" ht="32.25" hidden="1"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12" t="str">
        <v/>
      </c>
      <c r="N60" s="427" t="str">
        <v>MSU</v>
      </c>
      <c r="O60" s="435">
        <v>366</v>
      </c>
      <c r="P60" s="428">
        <v>44530</v>
      </c>
      <c r="Q60" s="429" t="str">
        <v>MSU - PTH</v>
      </c>
      <c r="R60" s="428">
        <v>44896</v>
      </c>
      <c r="S60" s="430" t="str">
        <v>Truck</v>
      </c>
      <c r="T60" s="431" t="str">
        <v>PTH - MCM</v>
      </c>
      <c r="U60" s="431" t="str">
        <v>-</v>
      </c>
      <c r="V60" s="433" t="str">
        <v>USAP Vessel</v>
      </c>
      <c r="W60" s="433" t="str">
        <v>USAP Vessel</v>
      </c>
      <c r="X60" s="433" t="str">
        <v>-</v>
      </c>
      <c r="Y60" s="426" t="str">
        <v>-</v>
      </c>
      <c r="Z60" s="434">
        <v>44963</v>
      </c>
      <c r="AA60" s="409" t="str">
        <v>-</v>
      </c>
      <c r="AB60" s="435" t="str">
        <v>LC-130</v>
      </c>
      <c r="AC60" s="409">
        <v>45250</v>
      </c>
      <c r="AD60" s="409" t="str">
        <v>Yes</v>
      </c>
      <c r="AE60" s="409" t="str">
        <v>FY23 inter</v>
      </c>
      <c r="AF60" s="409" t="str">
        <v>FY24 intra</v>
      </c>
      <c r="AG60" s="409" t="str">
        <v>T. DeYoung</v>
      </c>
      <c r="AH60" s="409">
        <v>44482</v>
      </c>
      <c r="AI60" s="409" t="str">
        <v>D. Tosi</v>
      </c>
      <c r="AJ60" s="409">
        <v>44480</v>
      </c>
      <c r="AK60" s="409" t="str">
        <v/>
      </c>
      <c r="AL60" s="9" t="str">
        <v/>
      </c>
    </row>
    <row r="61" spans="1:40" s="9" customFormat="1" ht="68.099999999999994" hidden="1">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12" t="str">
        <v>DNDF[-40C](*)</v>
      </c>
      <c r="N61" s="427" t="str">
        <v>MSU</v>
      </c>
      <c r="O61" s="435">
        <v>46</v>
      </c>
      <c r="P61" s="428">
        <v>44985</v>
      </c>
      <c r="Q61" s="429" t="str">
        <v>MSU - PTH</v>
      </c>
      <c r="R61" s="428">
        <v>45031</v>
      </c>
      <c r="S61" s="431" t="str">
        <v>Truck</v>
      </c>
      <c r="T61" s="431" t="str">
        <v>PTH - MCM</v>
      </c>
      <c r="U61" s="431" t="str">
        <v>-</v>
      </c>
      <c r="V61" s="433" t="str">
        <v>USAP Vessel</v>
      </c>
      <c r="W61" s="433" t="str">
        <v>USAP Vessel</v>
      </c>
      <c r="X61" s="433" t="str">
        <v>-</v>
      </c>
      <c r="Y61" s="426" t="str">
        <v>-</v>
      </c>
      <c r="Z61" s="434">
        <v>45328</v>
      </c>
      <c r="AA61" s="427" t="str">
        <v>-</v>
      </c>
      <c r="AB61" s="435" t="str">
        <v>LC-130</v>
      </c>
      <c r="AC61" s="409">
        <v>45337</v>
      </c>
      <c r="AD61" s="409" t="str">
        <v>Yes</v>
      </c>
      <c r="AE61" s="409" t="str">
        <v>FY24 inter</v>
      </c>
      <c r="AF61" s="409" t="str">
        <v>FY24 intra</v>
      </c>
      <c r="AG61" s="409" t="str">
        <v>T. DeYoung</v>
      </c>
      <c r="AH61" s="500">
        <v>44459</v>
      </c>
      <c r="AI61" s="500" t="str">
        <v>D. Tosi</v>
      </c>
      <c r="AJ61" s="409">
        <v>44480</v>
      </c>
      <c r="AK61" s="409" t="e">
        <v>#VALUE!</v>
      </c>
      <c r="AL61" s="9" t="str">
        <v/>
      </c>
    </row>
    <row r="62" spans="1:40" s="9" customFormat="1" ht="32.25" hidden="1" customHeight="1">
      <c r="A62" s="35">
        <v>1.4</v>
      </c>
      <c r="B62" s="51" t="str">
        <v>Installation</v>
      </c>
      <c r="C62" s="20" t="str">
        <v>Breakout cables for strings 89-93</v>
      </c>
      <c r="D62" s="20" t="str">
        <v>Stored in McMurdo FY24. 5 wooden crates containing spooled breakout cable assemblies - 96 cf/ 1,000 lbs each (preliminary) -  Do Not Deep Freeze</v>
      </c>
      <c r="E62" s="36">
        <v>72</v>
      </c>
      <c r="F62" s="36">
        <v>48</v>
      </c>
      <c r="G62" s="36">
        <v>48</v>
      </c>
      <c r="H62" s="23">
        <v>5</v>
      </c>
      <c r="I62" s="4">
        <v>480</v>
      </c>
      <c r="J62" s="4">
        <v>1000</v>
      </c>
      <c r="K62" s="4">
        <v>5000</v>
      </c>
      <c r="L62" s="36" t="str">
        <v>estimated</v>
      </c>
      <c r="M62" s="112" t="str">
        <v>DNDF[-40C](*)</v>
      </c>
      <c r="N62" s="427" t="str">
        <v>MSU</v>
      </c>
      <c r="O62" s="435">
        <v>24</v>
      </c>
      <c r="P62" s="428">
        <v>45068</v>
      </c>
      <c r="Q62" s="429" t="str">
        <v>MSU - PTH</v>
      </c>
      <c r="R62" s="428">
        <v>45092</v>
      </c>
      <c r="S62" s="431" t="str">
        <v>Truck</v>
      </c>
      <c r="T62" s="431" t="str">
        <v>PTH - MCM</v>
      </c>
      <c r="U62" s="431" t="str">
        <v>-</v>
      </c>
      <c r="V62" s="433" t="str">
        <v>USAP Vessel</v>
      </c>
      <c r="W62" s="433" t="str">
        <v>USAP Vessel</v>
      </c>
      <c r="X62" s="433" t="str">
        <v>-</v>
      </c>
      <c r="Y62" s="426" t="str">
        <v>-</v>
      </c>
      <c r="Z62" s="434">
        <v>45328</v>
      </c>
      <c r="AA62" s="427" t="str">
        <v>-</v>
      </c>
      <c r="AB62" s="435" t="str">
        <v>LC-130/SPoT</v>
      </c>
      <c r="AC62" s="409">
        <v>45621</v>
      </c>
      <c r="AD62" s="409" t="str">
        <v>Yes</v>
      </c>
      <c r="AE62" s="409" t="str">
        <v>FY24 inter</v>
      </c>
      <c r="AF62" s="409" t="str">
        <v>FY25 intra</v>
      </c>
      <c r="AG62" s="409" t="str">
        <v>T. DeYoung</v>
      </c>
      <c r="AH62" s="500">
        <v>44459</v>
      </c>
      <c r="AI62" s="500" t="str">
        <v>D. Tosi</v>
      </c>
      <c r="AJ62" s="409">
        <v>44459</v>
      </c>
      <c r="AK62" s="409" t="str">
        <v xml:space="preserve">Float in PTH due to storage limitation in MSU.
(*) storage in McMurdo pending low temperature test  </v>
      </c>
      <c r="AL62" s="9" t="str">
        <v/>
      </c>
    </row>
    <row r="63" spans="1:40" s="9" customFormat="1" ht="32.25" hidden="1" customHeight="1">
      <c r="A63" s="35">
        <v>1.4</v>
      </c>
      <c r="B63" s="51" t="str">
        <v>Installation</v>
      </c>
      <c r="C63" s="20" t="str">
        <v>Main (downhole) load members 87-93</v>
      </c>
      <c r="D63" s="20" t="str">
        <v>May be possible to store in McMurdo until drill season - Do Not Deep Freeze</v>
      </c>
      <c r="E63" s="36">
        <v>47</v>
      </c>
      <c r="F63" s="36">
        <v>47</v>
      </c>
      <c r="G63" s="36">
        <v>39</v>
      </c>
      <c r="H63" s="23">
        <v>7</v>
      </c>
      <c r="I63" s="4">
        <v>348.99131944444446</v>
      </c>
      <c r="J63" s="4">
        <v>766</v>
      </c>
      <c r="K63" s="4">
        <v>5362</v>
      </c>
      <c r="L63" s="36" t="str">
        <v>preliminary</v>
      </c>
      <c r="M63" s="112" t="str">
        <v>DNDF[-40C](*)</v>
      </c>
      <c r="N63" s="427" t="str">
        <v>MSU</v>
      </c>
      <c r="O63" s="435">
        <v>14</v>
      </c>
      <c r="P63" s="428">
        <v>45017</v>
      </c>
      <c r="Q63" s="429" t="str">
        <v>MSU - PTH</v>
      </c>
      <c r="R63" s="428">
        <v>45031</v>
      </c>
      <c r="S63" s="431" t="str">
        <v>Truck</v>
      </c>
      <c r="T63" s="431" t="str">
        <v>PTH - MCM</v>
      </c>
      <c r="U63" s="431" t="str">
        <v>-</v>
      </c>
      <c r="V63" s="433" t="str">
        <v>USAP Vessel</v>
      </c>
      <c r="W63" s="433" t="str">
        <v>USAP Vessel</v>
      </c>
      <c r="X63" s="433" t="str">
        <v>-</v>
      </c>
      <c r="Y63" s="426" t="str">
        <v>-</v>
      </c>
      <c r="Z63" s="434">
        <v>45328</v>
      </c>
      <c r="AA63" s="409" t="str">
        <v>-</v>
      </c>
      <c r="AB63" s="435" t="str">
        <v>LC-130/SPoT</v>
      </c>
      <c r="AC63" s="409">
        <v>45627</v>
      </c>
      <c r="AD63" s="409" t="str">
        <v>Yes</v>
      </c>
      <c r="AE63" s="409" t="str">
        <v>FY24 inter</v>
      </c>
      <c r="AF63" s="409" t="str">
        <v>FY25 intra</v>
      </c>
      <c r="AG63" s="500" t="str">
        <v>T. DeYoung</v>
      </c>
      <c r="AH63" s="500">
        <v>44459</v>
      </c>
      <c r="AI63" s="500" t="str">
        <v>D. Tosi</v>
      </c>
      <c r="AJ63" s="409">
        <v>44480</v>
      </c>
      <c r="AK63" s="409" t="str">
        <v>Shipping date synched with main (downhole) cables due to storage limitation in MSU. Float in PTH.</v>
      </c>
      <c r="AL63" s="9" t="str">
        <v/>
      </c>
    </row>
    <row r="64" spans="1:40" s="9" customFormat="1" ht="40.5" hidden="1" customHeight="1">
      <c r="A64" s="35">
        <v>1.4</v>
      </c>
      <c r="B64" s="51" t="str">
        <v>Installation</v>
      </c>
      <c r="C64" s="20" t="str">
        <v>Main (downhole) cables 87-93</v>
      </c>
      <c r="D64" s="20" t="str">
        <v>May be possible to store in McMurdo until drill season - Do Not Deep Freeze</v>
      </c>
      <c r="E64" s="36">
        <v>96</v>
      </c>
      <c r="F64" s="36">
        <v>96</v>
      </c>
      <c r="G64" s="36">
        <v>96</v>
      </c>
      <c r="H64" s="23">
        <v>7</v>
      </c>
      <c r="I64" s="4">
        <v>3584</v>
      </c>
      <c r="J64" s="4">
        <v>15000</v>
      </c>
      <c r="K64" s="4">
        <v>105000</v>
      </c>
      <c r="L64" s="36" t="str">
        <v>preliminary</v>
      </c>
      <c r="M64" s="112" t="str">
        <v>DNDF[-40C](*)</v>
      </c>
      <c r="N64" s="427" t="str">
        <v>MSU</v>
      </c>
      <c r="O64" s="435">
        <v>14</v>
      </c>
      <c r="P64" s="428">
        <v>45017</v>
      </c>
      <c r="Q64" s="429" t="str">
        <v>MSU - PTH</v>
      </c>
      <c r="R64" s="428">
        <v>45031</v>
      </c>
      <c r="S64" s="431" t="str">
        <v>Truck</v>
      </c>
      <c r="T64" s="431" t="str">
        <v>PTH - MCM</v>
      </c>
      <c r="U64" s="431" t="str">
        <v>-</v>
      </c>
      <c r="V64" s="433" t="str">
        <v>USAP Vessel</v>
      </c>
      <c r="W64" s="433" t="str">
        <v>USAP Vessel</v>
      </c>
      <c r="X64" s="433" t="str">
        <v>-</v>
      </c>
      <c r="Y64" s="426" t="str">
        <v>-</v>
      </c>
      <c r="Z64" s="434">
        <v>45328</v>
      </c>
      <c r="AA64" s="409" t="str">
        <v>-</v>
      </c>
      <c r="AB64" s="435" t="str">
        <v>LC-130/SPoT</v>
      </c>
      <c r="AC64" s="409">
        <v>45627</v>
      </c>
      <c r="AD64" s="409" t="str">
        <v>Yes</v>
      </c>
      <c r="AE64" s="409" t="str">
        <v>FY24 inter</v>
      </c>
      <c r="AF64" s="409" t="str">
        <v>FY25 intra</v>
      </c>
      <c r="AG64" s="409" t="str">
        <v>T. DeYoung</v>
      </c>
      <c r="AH64" s="500">
        <v>44459</v>
      </c>
      <c r="AI64" s="500" t="str">
        <v>D. Tosi</v>
      </c>
      <c r="AJ64" s="409">
        <v>44480</v>
      </c>
      <c r="AK64" s="409" t="str">
        <v>Shipping date chosen to be 2 weeks after scheduled ready to ship date because of storage limitations at MSU. additional 7 months of float at Port Hueneme assuming USAP vessel departure.  (*) storage in McMurdo pending low temperature test.</v>
      </c>
      <c r="AL64" s="9" t="str">
        <v/>
      </c>
    </row>
    <row r="65" spans="1:40" ht="102" customHeight="1">
      <c r="A65" s="165">
        <v>1.3</v>
      </c>
      <c r="B65" s="166" t="str">
        <v>Installation</v>
      </c>
      <c r="C65" s="167" t="str">
        <v>String Sensors 89-93</v>
      </c>
      <c r="D65" s="167" t="str">
        <v>Optical Sensors for 5 strings from MSU (mDOMs) - Do Not Deep Freeze</v>
      </c>
      <c r="E65" s="152">
        <v>40</v>
      </c>
      <c r="F65" s="152">
        <v>48</v>
      </c>
      <c r="G65" s="152">
        <v>46</v>
      </c>
      <c r="H65" s="152">
        <v>25</v>
      </c>
      <c r="I65" s="154">
        <v>1277.7777777777778</v>
      </c>
      <c r="J65" s="154">
        <v>573</v>
      </c>
      <c r="K65" s="154">
        <v>14325</v>
      </c>
      <c r="L65" s="152" t="str">
        <v>actual(**)</v>
      </c>
      <c r="M65" s="168" t="str">
        <v>DNDF [-40C]</v>
      </c>
      <c r="N65" s="156" t="str">
        <v>MSU</v>
      </c>
      <c r="O65" s="407">
        <v>366</v>
      </c>
      <c r="P65" s="158">
        <v>45139</v>
      </c>
      <c r="Q65" s="158" t="str">
        <v>MSU - PTH</v>
      </c>
      <c r="R65" s="158">
        <v>45505</v>
      </c>
      <c r="S65" s="160" t="str">
        <v>Truck</v>
      </c>
      <c r="T65" s="160" t="str">
        <v>PTH - CHC</v>
      </c>
      <c r="U65" s="160" t="str">
        <v>-</v>
      </c>
      <c r="V65" s="162" t="str">
        <v>ComSur</v>
      </c>
      <c r="W65" s="162" t="str">
        <v>CHC - MCM</v>
      </c>
      <c r="X65" s="162" t="str">
        <v>-</v>
      </c>
      <c r="Y65" s="157" t="str">
        <v>USAP Air</v>
      </c>
      <c r="Z65" s="169">
        <v>45597</v>
      </c>
      <c r="AA65" s="156" t="str">
        <v>-</v>
      </c>
      <c r="AB65" s="157" t="str">
        <v>LC-130</v>
      </c>
      <c r="AC65" s="157">
        <v>45621</v>
      </c>
      <c r="AD65" s="163" t="str">
        <v>Yes</v>
      </c>
      <c r="AE65" s="163" t="str">
        <v>FY25 inter</v>
      </c>
      <c r="AF65" s="163" t="str">
        <v>FY25 intra</v>
      </c>
      <c r="AG65" s="157" t="str">
        <v>T. Karg</v>
      </c>
      <c r="AH65" s="157">
        <v>44459</v>
      </c>
      <c r="AI65" s="157" t="str">
        <v>D. Tosi</v>
      </c>
      <c r="AJ65" s="157">
        <v>44461</v>
      </c>
      <c r="AK65" s="163" t="str">
        <v>mDOM weight is 28 kg/boxed + 35kg pallet, assume 8 mDOMs/pallet (189 to be deployed + 11 spares)(*)Assumed to be shipped in 2x20' HC  (5115 lbs, 238inx96inx114in) or a 40 ft HC, purchased by MSU or loaned in PTH (container weight not included)</v>
      </c>
      <c r="AL65" s="146" t="str">
        <v/>
      </c>
    </row>
    <row r="66" spans="1:40" ht="51">
      <c r="A66" s="165">
        <v>1.3</v>
      </c>
      <c r="B66" s="166" t="str">
        <v>Installation</v>
      </c>
      <c r="C66" s="167" t="str">
        <v>String Sensors 89-93</v>
      </c>
      <c r="D66" s="167" t="str">
        <v>Optical Sensors for 5 strings from MSU (mDOMs) containers (TBD) - Do Not Deep Freeze</v>
      </c>
      <c r="E66" s="152">
        <v>238</v>
      </c>
      <c r="F66" s="152">
        <v>96</v>
      </c>
      <c r="G66" s="152">
        <v>114</v>
      </c>
      <c r="H66" s="152">
        <v>0</v>
      </c>
      <c r="I66" s="154">
        <v>0</v>
      </c>
      <c r="J66" s="154">
        <v>5115</v>
      </c>
      <c r="K66" s="154">
        <v>0</v>
      </c>
      <c r="L66" s="152" t="str">
        <v>actual(**)</v>
      </c>
      <c r="M66" s="168" t="str">
        <v>DNDF [-40C]</v>
      </c>
      <c r="N66" s="156" t="str">
        <v>MSU</v>
      </c>
      <c r="O66" s="407">
        <v>366</v>
      </c>
      <c r="P66" s="158">
        <v>45139</v>
      </c>
      <c r="Q66" s="158" t="str">
        <v>MSU - PTH</v>
      </c>
      <c r="R66" s="158">
        <v>45505</v>
      </c>
      <c r="S66" s="160" t="str">
        <v>Truck</v>
      </c>
      <c r="T66" s="160" t="str">
        <v>PTH - CHC</v>
      </c>
      <c r="U66" s="160" t="str">
        <v>-</v>
      </c>
      <c r="V66" s="162" t="str">
        <v>ComSur</v>
      </c>
      <c r="W66" s="162" t="str">
        <v>CHC - MCM</v>
      </c>
      <c r="X66" s="162" t="str">
        <v>-</v>
      </c>
      <c r="Y66" s="157" t="str">
        <v>USAP Air</v>
      </c>
      <c r="Z66" s="169">
        <v>45597</v>
      </c>
      <c r="AA66" s="156" t="str">
        <v>-</v>
      </c>
      <c r="AB66" s="157" t="str">
        <v>LC-130</v>
      </c>
      <c r="AC66" s="157">
        <v>45621</v>
      </c>
      <c r="AD66" s="163" t="str">
        <v>Yes</v>
      </c>
      <c r="AE66" s="163" t="str">
        <v>FY25 inter</v>
      </c>
      <c r="AF66" s="163" t="str">
        <v>FY25 intra</v>
      </c>
      <c r="AG66" s="157" t="str">
        <v>T. Karg</v>
      </c>
      <c r="AH66" s="157">
        <v>44459</v>
      </c>
      <c r="AI66" s="157" t="str">
        <v>D. Tosi</v>
      </c>
      <c r="AJ66" s="157">
        <v>44461</v>
      </c>
      <c r="AK66" s="163" t="str">
        <v>Assume 2x20HC containers for transport on COMSUR (TBC). Pallets could be loaded to 53 ft truck and loaded into a loaned container in PTH but this would increase touch points (and risk)</v>
      </c>
      <c r="AL66" s="146"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customHeight="1">
      <c r="A68" s="165">
        <v>1.3</v>
      </c>
      <c r="B68" s="166" t="str">
        <v>Installation</v>
      </c>
      <c r="C68" s="167" t="str">
        <v>DM-Ice</v>
      </c>
      <c r="D68" s="167" t="str">
        <v>DM-ice (two modules for string 89 and 90) - Do Not Deep Freeze</v>
      </c>
      <c r="E68" s="152">
        <v>48</v>
      </c>
      <c r="F68" s="152">
        <v>48</v>
      </c>
      <c r="G68" s="152">
        <v>48</v>
      </c>
      <c r="H68" s="152">
        <v>1</v>
      </c>
      <c r="I68" s="154">
        <v>64</v>
      </c>
      <c r="J68" s="154">
        <v>1500</v>
      </c>
      <c r="K68" s="154">
        <v>1500</v>
      </c>
      <c r="L68" s="152" t="str">
        <v>estimated</v>
      </c>
      <c r="M68" s="168" t="str">
        <v>DNDF [-40C]</v>
      </c>
      <c r="N68" s="156" t="str">
        <v>Yale</v>
      </c>
      <c r="O68" s="407">
        <v>61</v>
      </c>
      <c r="P68" s="158">
        <v>45444</v>
      </c>
      <c r="Q68" s="158" t="str">
        <v>Yale - PTH</v>
      </c>
      <c r="R68" s="158">
        <v>45505</v>
      </c>
      <c r="S68" s="160" t="str">
        <v>Truck</v>
      </c>
      <c r="T68" s="160" t="str">
        <v>PTH - CHC</v>
      </c>
      <c r="U68" s="160" t="str">
        <v>-</v>
      </c>
      <c r="V68" s="162" t="str">
        <v>ComSur</v>
      </c>
      <c r="W68" s="162" t="str">
        <v>CHC - MCM</v>
      </c>
      <c r="X68" s="162" t="str">
        <v>-</v>
      </c>
      <c r="Y68" s="157" t="str">
        <v>USAP Air</v>
      </c>
      <c r="Z68" s="169">
        <v>45597</v>
      </c>
      <c r="AA68" s="156" t="str">
        <v>-</v>
      </c>
      <c r="AB68" s="157" t="str">
        <v>LC-130</v>
      </c>
      <c r="AC68" s="157">
        <v>45621</v>
      </c>
      <c r="AD68" s="163" t="str">
        <v>Yes</v>
      </c>
      <c r="AE68" s="163" t="str">
        <v>FY25 inter</v>
      </c>
      <c r="AF68" s="163" t="str">
        <v>FY25 intra</v>
      </c>
      <c r="AG68" s="157" t="str">
        <v>M. Kauer</v>
      </c>
      <c r="AH68" s="157">
        <v>44459</v>
      </c>
      <c r="AI68" s="157" t="str">
        <v>D. Tosi</v>
      </c>
      <c r="AJ68" s="157">
        <v>44459</v>
      </c>
      <c r="AK68" s="163" t="str">
        <v/>
      </c>
      <c r="AL68" s="146"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s="9" customFormat="1" ht="68.099999999999994" hidden="1">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35">
        <v>122</v>
      </c>
      <c r="P70" s="428">
        <v>45017</v>
      </c>
      <c r="Q70" s="429" t="str">
        <v>DESY - CHC</v>
      </c>
      <c r="R70" s="428">
        <v>45139</v>
      </c>
      <c r="S70" s="431" t="str">
        <v>ComSur</v>
      </c>
      <c r="T70" s="431" t="str">
        <v>DESY-CHC</v>
      </c>
      <c r="U70" s="431" t="str">
        <v>-</v>
      </c>
      <c r="V70" s="433" t="str">
        <v>ComSur</v>
      </c>
      <c r="W70" s="433" t="str">
        <v>CHC - MCM</v>
      </c>
      <c r="X70" s="433" t="str">
        <v>-</v>
      </c>
      <c r="Y70" s="435" t="str">
        <v>USAP  Air</v>
      </c>
      <c r="Z70" s="434">
        <v>45231</v>
      </c>
      <c r="AA70" s="427" t="str">
        <v>-</v>
      </c>
      <c r="AB70" s="435" t="str">
        <v>LC-130</v>
      </c>
      <c r="AC70" s="409">
        <v>45306</v>
      </c>
      <c r="AD70" s="409" t="str">
        <v>Yes</v>
      </c>
      <c r="AE70" s="409" t="str">
        <v>FY24 inter</v>
      </c>
      <c r="AF70" s="409" t="str">
        <v>FY24 intra</v>
      </c>
      <c r="AG70" s="409" t="str">
        <v>T. Karg</v>
      </c>
      <c r="AH70" s="409">
        <v>44459</v>
      </c>
      <c r="AI70" s="409" t="str">
        <v>D. Tosi</v>
      </c>
      <c r="AJ70" s="409">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s="9" customFormat="1" ht="68.099999999999994" hidden="1">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35">
        <v>122</v>
      </c>
      <c r="P71" s="428">
        <v>45017</v>
      </c>
      <c r="Q71" s="429" t="str">
        <v>DESY - CHC</v>
      </c>
      <c r="R71" s="428">
        <v>45139</v>
      </c>
      <c r="S71" s="431" t="str">
        <v>ComSur</v>
      </c>
      <c r="T71" s="431" t="str">
        <v>DESY-CHC</v>
      </c>
      <c r="U71" s="431" t="str">
        <v>-</v>
      </c>
      <c r="V71" s="433" t="str">
        <v>ComSur</v>
      </c>
      <c r="W71" s="433" t="str">
        <v>CHC - MCM</v>
      </c>
      <c r="X71" s="433" t="str">
        <v>-</v>
      </c>
      <c r="Y71" s="435" t="str">
        <v>USAP  Air</v>
      </c>
      <c r="Z71" s="434">
        <v>45231</v>
      </c>
      <c r="AA71" s="427" t="str">
        <v>-</v>
      </c>
      <c r="AB71" s="435" t="str">
        <v>LC-130</v>
      </c>
      <c r="AC71" s="409">
        <v>45306</v>
      </c>
      <c r="AD71" s="409" t="str">
        <v>Yes</v>
      </c>
      <c r="AE71" s="409" t="str">
        <v>FY24 inter</v>
      </c>
      <c r="AF71" s="409" t="str">
        <v>FY24 intra</v>
      </c>
      <c r="AG71" s="409" t="str">
        <v>T. Karg</v>
      </c>
      <c r="AH71" s="409">
        <v>44459</v>
      </c>
      <c r="AI71" s="409" t="str">
        <v>D. Tosi</v>
      </c>
      <c r="AJ71" s="409">
        <v>44461</v>
      </c>
      <c r="AK71" s="409" t="str">
        <v>mDOM weight is 62 lbs (25kg/sensor + 3 kg/box) + 35kg pallet, assume 8 mDOMs/pallet - shipped in 20 HC container. Container weight not included in the assumption that pallet will be taken out in CHC.</v>
      </c>
      <c r="AL71" s="9" t="str">
        <v/>
      </c>
    </row>
    <row r="72" spans="1:40" s="9" customFormat="1" ht="33.950000000000003" hidden="1">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35">
        <v>212</v>
      </c>
      <c r="P72" s="428">
        <v>44927</v>
      </c>
      <c r="Q72" s="429" t="str">
        <v>DESY - CHC</v>
      </c>
      <c r="R72" s="428">
        <v>45139</v>
      </c>
      <c r="S72" s="431" t="str">
        <v>ComSur</v>
      </c>
      <c r="T72" s="431" t="str">
        <v>DESY-CHC</v>
      </c>
      <c r="U72" s="431" t="str">
        <v>-</v>
      </c>
      <c r="V72" s="433" t="str">
        <v>ComSur</v>
      </c>
      <c r="W72" s="433" t="str">
        <v>CHC - MCM</v>
      </c>
      <c r="X72" s="433" t="str">
        <v>-</v>
      </c>
      <c r="Y72" s="435" t="str">
        <v>USAP  Air</v>
      </c>
      <c r="Z72" s="434">
        <v>45231</v>
      </c>
      <c r="AA72" s="427" t="str">
        <v>-</v>
      </c>
      <c r="AB72" s="435" t="str">
        <v>LC-130</v>
      </c>
      <c r="AC72" s="409">
        <v>45306</v>
      </c>
      <c r="AD72" s="409" t="str">
        <v>Yes</v>
      </c>
      <c r="AE72" s="409" t="str">
        <v>FY24 inter</v>
      </c>
      <c r="AF72" s="409" t="str">
        <v>FY24 intra</v>
      </c>
      <c r="AG72" s="409" t="str">
        <v>S. Boeser</v>
      </c>
      <c r="AH72" s="409">
        <v>44482</v>
      </c>
      <c r="AI72" s="409" t="str">
        <v>D. Tosi</v>
      </c>
      <c r="AJ72" s="409">
        <v>44482</v>
      </c>
      <c r="AK72" s="409" t="str">
        <v xml:space="preserve">8 WOMs (no spares) - AH not included for now. Assume 150 lbs crate.  </v>
      </c>
      <c r="AL72" s="9" t="str">
        <v/>
      </c>
    </row>
    <row r="73" spans="1:40" s="9" customFormat="1" ht="33.950000000000003" hidden="1">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35">
        <v>426</v>
      </c>
      <c r="P73" s="428">
        <v>44713</v>
      </c>
      <c r="Q73" s="429" t="str">
        <v>DESY - CHC</v>
      </c>
      <c r="R73" s="428">
        <v>45139</v>
      </c>
      <c r="S73" s="431" t="str">
        <v>ComSur</v>
      </c>
      <c r="T73" s="431" t="str">
        <v>DESY-CHC</v>
      </c>
      <c r="U73" s="431" t="str">
        <v>-</v>
      </c>
      <c r="V73" s="433" t="str">
        <v>ComSur</v>
      </c>
      <c r="W73" s="433" t="str">
        <v>CHC-MCM</v>
      </c>
      <c r="X73" s="433" t="str">
        <v>-</v>
      </c>
      <c r="Y73" s="435" t="str">
        <v>USAP  Air</v>
      </c>
      <c r="Z73" s="434">
        <v>45231</v>
      </c>
      <c r="AA73" s="427" t="str">
        <v>-</v>
      </c>
      <c r="AB73" s="435" t="str">
        <v>LC-130</v>
      </c>
      <c r="AC73" s="409">
        <v>45306</v>
      </c>
      <c r="AD73" s="409" t="str">
        <v>Yes</v>
      </c>
      <c r="AE73" s="409" t="str">
        <v>FY24 inter</v>
      </c>
      <c r="AF73" s="409" t="str">
        <v>FY24 intra</v>
      </c>
      <c r="AG73" s="409" t="str">
        <v>D. Williams</v>
      </c>
      <c r="AH73" s="409">
        <v>44482</v>
      </c>
      <c r="AI73" s="409" t="str">
        <v>D. Tosi</v>
      </c>
      <c r="AJ73" s="409">
        <v>44482</v>
      </c>
      <c r="AK73" s="409" t="str">
        <v>Calibration devices for strings 87-88 = 2+1 Sweden Camera + 3+1 Acoustic Module + 4+1 POCAM, including spares, 200 lbs crate</v>
      </c>
      <c r="AL73" s="9" t="str">
        <v/>
      </c>
    </row>
    <row r="74" spans="1:40" s="9" customFormat="1" ht="33.950000000000003" hidden="1">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35">
        <v>14</v>
      </c>
      <c r="P74" s="428">
        <v>45139</v>
      </c>
      <c r="Q74" s="429" t="str">
        <v>DESY - CHC</v>
      </c>
      <c r="R74" s="428">
        <v>45153</v>
      </c>
      <c r="S74" s="431" t="str">
        <v>ComSur</v>
      </c>
      <c r="T74" s="431" t="str">
        <v>DESY-CHC</v>
      </c>
      <c r="U74" s="431" t="str">
        <v>-</v>
      </c>
      <c r="V74" s="433" t="str">
        <v>ComSur</v>
      </c>
      <c r="W74" s="433" t="str">
        <v>CHC-MCM</v>
      </c>
      <c r="X74" s="433" t="str">
        <v>-</v>
      </c>
      <c r="Y74" s="435" t="str">
        <v>USAP  Air</v>
      </c>
      <c r="Z74" s="434">
        <v>45231</v>
      </c>
      <c r="AA74" s="427" t="str">
        <v>-</v>
      </c>
      <c r="AB74" s="435" t="str">
        <v>LC-130</v>
      </c>
      <c r="AC74" s="409">
        <v>45261</v>
      </c>
      <c r="AD74" s="409" t="str">
        <v>No</v>
      </c>
      <c r="AE74" s="409" t="str">
        <v>FY24 inter</v>
      </c>
      <c r="AF74" s="500" t="str">
        <v>FY24 intra</v>
      </c>
      <c r="AG74" s="500" t="str">
        <v>J. Kelley</v>
      </c>
      <c r="AH74" s="500">
        <v>44482</v>
      </c>
      <c r="AI74" s="500" t="str">
        <v>D. Tosi</v>
      </c>
      <c r="AJ74" s="409">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c r="A75" s="165">
        <v>1.3</v>
      </c>
      <c r="B75" s="166" t="str">
        <v>Installation</v>
      </c>
      <c r="C75" s="167" t="str">
        <v>String Sensors 89-93</v>
      </c>
      <c r="D75" s="167" t="str">
        <v>Optical sensors for 5 strings from Germany (mDOMs) - Do Not Deep Freeze</v>
      </c>
      <c r="E75" s="152">
        <v>40</v>
      </c>
      <c r="F75" s="152">
        <v>48</v>
      </c>
      <c r="G75" s="152">
        <v>46</v>
      </c>
      <c r="H75" s="152">
        <v>12</v>
      </c>
      <c r="I75" s="154">
        <v>613.33333333333337</v>
      </c>
      <c r="J75" s="154">
        <v>573</v>
      </c>
      <c r="K75" s="154">
        <v>6876</v>
      </c>
      <c r="L75" s="152" t="str">
        <v>actual(**)</v>
      </c>
      <c r="M75" s="168" t="str">
        <v>DNDF [-40C]</v>
      </c>
      <c r="N75" s="156" t="str">
        <v>DESY</v>
      </c>
      <c r="O75" s="407">
        <v>397</v>
      </c>
      <c r="P75" s="158">
        <v>45108</v>
      </c>
      <c r="Q75" s="158" t="str">
        <v>DESY - CHC</v>
      </c>
      <c r="R75" s="158">
        <v>45505</v>
      </c>
      <c r="S75" s="160" t="str">
        <v>ComSur</v>
      </c>
      <c r="T75" s="160" t="str">
        <v>DESY-CHC</v>
      </c>
      <c r="U75" s="160" t="str">
        <v>-</v>
      </c>
      <c r="V75" s="162" t="str">
        <v>ComSur</v>
      </c>
      <c r="W75" s="162" t="str">
        <v>CHC - MCM</v>
      </c>
      <c r="X75" s="162" t="str">
        <v>-</v>
      </c>
      <c r="Y75" s="157" t="str">
        <v>USAP  Air</v>
      </c>
      <c r="Z75" s="169">
        <v>45597</v>
      </c>
      <c r="AA75" s="156" t="str">
        <v>-</v>
      </c>
      <c r="AB75" s="157" t="str">
        <v>LC-130</v>
      </c>
      <c r="AC75" s="157">
        <v>45621</v>
      </c>
      <c r="AD75" s="163" t="str">
        <v>Yes</v>
      </c>
      <c r="AE75" s="163" t="str">
        <v>FY25 inter</v>
      </c>
      <c r="AF75" s="163" t="str">
        <v>FY25 intra</v>
      </c>
      <c r="AG75" s="157" t="str">
        <v>T. Karg</v>
      </c>
      <c r="AH75" s="157">
        <v>44459</v>
      </c>
      <c r="AI75" s="157" t="str">
        <v>D. Tosi</v>
      </c>
      <c r="AJ75" s="157">
        <v>44461</v>
      </c>
      <c r="AK75" s="163" t="str">
        <v>mDOM weight is (28kg/sensor boxed) + 35kg pallet, assume 8 mDOMs/pallet - 190 to be deployed + 10 spares. (**) shipped in 20 HC container. Container not included in weight as pallets will be taken out.</v>
      </c>
      <c r="AL75" s="146" t="str">
        <v/>
      </c>
    </row>
    <row r="76" spans="1:40" ht="33.950000000000003">
      <c r="A76" s="165">
        <v>1.3</v>
      </c>
      <c r="B76" s="166" t="str">
        <v>Installation</v>
      </c>
      <c r="C76" s="167" t="str">
        <v>Special Devices 89-93</v>
      </c>
      <c r="D76" s="167" t="str">
        <v>Special devices for 5 remaining strings from DESY/Germany/Sweden (6 WOMs,  3 Abalone Hubs or WOM Traps)  no spares - Do Not Deep Freeze</v>
      </c>
      <c r="E76" s="152">
        <v>32</v>
      </c>
      <c r="F76" s="152">
        <v>31</v>
      </c>
      <c r="G76" s="152">
        <v>89</v>
      </c>
      <c r="H76" s="152">
        <v>1</v>
      </c>
      <c r="I76" s="154">
        <v>51.092592592592595</v>
      </c>
      <c r="J76" s="154">
        <v>1035</v>
      </c>
      <c r="K76" s="154">
        <v>1035</v>
      </c>
      <c r="L76" s="152" t="str">
        <v>preliminary</v>
      </c>
      <c r="M76" s="176" t="str">
        <v>DNDF [-40C]</v>
      </c>
      <c r="N76" s="156" t="str">
        <v>Mainz</v>
      </c>
      <c r="O76" s="407">
        <v>213</v>
      </c>
      <c r="P76" s="158">
        <v>45292</v>
      </c>
      <c r="Q76" s="158" t="str">
        <v>DESY - CHC</v>
      </c>
      <c r="R76" s="158">
        <v>45505</v>
      </c>
      <c r="S76" s="160" t="str">
        <v>ComSur</v>
      </c>
      <c r="T76" s="160" t="str">
        <v>DESY-CHC</v>
      </c>
      <c r="U76" s="160" t="str">
        <v>-</v>
      </c>
      <c r="V76" s="162" t="str">
        <v>ComSur</v>
      </c>
      <c r="W76" s="162" t="str">
        <v>CHC - MCM</v>
      </c>
      <c r="X76" s="162" t="str">
        <v>-</v>
      </c>
      <c r="Y76" s="157" t="str">
        <v>USAP  Air</v>
      </c>
      <c r="Z76" s="169">
        <v>45597</v>
      </c>
      <c r="AA76" s="156" t="str">
        <v>-</v>
      </c>
      <c r="AB76" s="157" t="str">
        <v>LC-130</v>
      </c>
      <c r="AC76" s="157">
        <v>45621</v>
      </c>
      <c r="AD76" s="163" t="str">
        <v>Yes</v>
      </c>
      <c r="AE76" s="163" t="str">
        <v>FY25 inter</v>
      </c>
      <c r="AF76" s="163" t="str">
        <v>FY25 intra</v>
      </c>
      <c r="AG76" s="157" t="str">
        <v>S. Boeser</v>
      </c>
      <c r="AH76" s="157">
        <v>44482</v>
      </c>
      <c r="AI76" s="157" t="str">
        <v>D. Tosi</v>
      </c>
      <c r="AJ76" s="157">
        <v>44482</v>
      </c>
      <c r="AK76" s="163" t="str">
        <v>6 Special Devices from Germany 6 (WOM + 0 AH) including 0 spare for each. Assume 170 lbs crate.</v>
      </c>
      <c r="AL76" s="146" t="str">
        <v/>
      </c>
    </row>
    <row r="77" spans="1:40" ht="50.25" customHeight="1">
      <c r="A77" s="165">
        <v>1.5</v>
      </c>
      <c r="B77" s="166" t="str">
        <v>Installation</v>
      </c>
      <c r="C77" s="167" t="str">
        <v>Calibration Devices 89-93</v>
      </c>
      <c r="D77" s="167" t="str">
        <v>Calibration for 5 strings from DESY/Germany/Sweden (17+2 POCAMs, 7+ 1 Acoustic sensors,  3+ 1 Swedish Cameras) including spares - Do Not Deep Freeze</v>
      </c>
      <c r="E77" s="180">
        <v>62</v>
      </c>
      <c r="F77" s="180">
        <v>48</v>
      </c>
      <c r="G77" s="180">
        <v>44</v>
      </c>
      <c r="H77" s="152">
        <v>1</v>
      </c>
      <c r="I77" s="154">
        <v>75.777777777777771</v>
      </c>
      <c r="J77" s="154">
        <v>1694</v>
      </c>
      <c r="K77" s="154">
        <v>1694</v>
      </c>
      <c r="L77" s="152" t="str">
        <v>preliminary</v>
      </c>
      <c r="M77" s="168" t="str">
        <v>DNDF [-40C]</v>
      </c>
      <c r="N77" s="156" t="str">
        <v>TUM/Aachen/Sweden</v>
      </c>
      <c r="O77" s="407">
        <v>792</v>
      </c>
      <c r="P77" s="158">
        <v>44713</v>
      </c>
      <c r="Q77" s="158" t="str">
        <v>DESY - CHC</v>
      </c>
      <c r="R77" s="158">
        <v>45505</v>
      </c>
      <c r="S77" s="160" t="str">
        <v>ComSur</v>
      </c>
      <c r="T77" s="160" t="str">
        <v>DESY-CHC</v>
      </c>
      <c r="U77" s="160" t="str">
        <v>-</v>
      </c>
      <c r="V77" s="162" t="str">
        <v>ComSur</v>
      </c>
      <c r="W77" s="162" t="str">
        <v>CHC-MCM</v>
      </c>
      <c r="X77" s="162" t="str">
        <v>-</v>
      </c>
      <c r="Y77" s="157" t="str">
        <v>USAP  Air</v>
      </c>
      <c r="Z77" s="169">
        <v>45597</v>
      </c>
      <c r="AA77" s="156" t="str">
        <v>-</v>
      </c>
      <c r="AB77" s="157" t="str">
        <v>LC-130</v>
      </c>
      <c r="AC77" s="157">
        <v>45621</v>
      </c>
      <c r="AD77" s="163" t="str">
        <v>Yes</v>
      </c>
      <c r="AE77" s="163" t="str">
        <v>FY25 inter</v>
      </c>
      <c r="AF77" s="163" t="str">
        <v>FY25 intra</v>
      </c>
      <c r="AG77" s="157" t="str">
        <v>D. Williams</v>
      </c>
      <c r="AH77" s="157">
        <v>44482</v>
      </c>
      <c r="AI77" s="157" t="str">
        <v>D. Tosi</v>
      </c>
      <c r="AJ77" s="157">
        <v>44482</v>
      </c>
      <c r="AK77" s="163" t="str">
        <v>Calibration devices for strings 89-93 = 3+1 Sweden Camera,7+1 + Acoustic Module,17 +1 POCAM, including spares, 200 lbs crate</v>
      </c>
      <c r="AL77" s="146"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s="9" customFormat="1" ht="51" hidden="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35">
        <v>426</v>
      </c>
      <c r="P79" s="428">
        <v>44713</v>
      </c>
      <c r="Q79" s="429" t="str">
        <v>ChibaU - CHC</v>
      </c>
      <c r="R79" s="428">
        <v>45139</v>
      </c>
      <c r="S79" s="431" t="str">
        <v>Cargo shipment by CHU</v>
      </c>
      <c r="T79" s="431" t="str">
        <v>ChibaU - CHC</v>
      </c>
      <c r="U79" s="431" t="str">
        <v>-</v>
      </c>
      <c r="V79" s="433" t="str">
        <v>ComSur</v>
      </c>
      <c r="W79" s="76" t="str">
        <v>CHC - MCM</v>
      </c>
      <c r="X79" s="433" t="str">
        <v>-</v>
      </c>
      <c r="Y79" s="435" t="str">
        <v>USAP Air</v>
      </c>
      <c r="Z79" s="434">
        <v>45231</v>
      </c>
      <c r="AA79" s="427" t="str">
        <v>-</v>
      </c>
      <c r="AB79" s="435" t="str">
        <v>LC-130</v>
      </c>
      <c r="AC79" s="409">
        <v>45306</v>
      </c>
      <c r="AD79" s="409" t="str">
        <v>Yes</v>
      </c>
      <c r="AE79" s="409" t="str">
        <v>FY24 inter</v>
      </c>
      <c r="AF79" s="409" t="str">
        <v>FY24 intra</v>
      </c>
      <c r="AG79" s="409" t="str">
        <v>S. Yoshida</v>
      </c>
      <c r="AH79" s="409">
        <v>44461</v>
      </c>
      <c r="AI79" s="409" t="str">
        <v>D. Tosi</v>
      </c>
      <c r="AJ79" s="409">
        <v>44461</v>
      </c>
      <c r="AK79" s="409" t="str">
        <v>Pallet sizes are under review. shipped in 20 and 40ft container. Container weight not included in the assumption that pallet will be taken out in CHC.</v>
      </c>
      <c r="AL79" s="9" t="str">
        <v/>
      </c>
    </row>
    <row r="80" spans="1:40" s="9" customFormat="1" ht="51" hidden="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35">
        <v>426</v>
      </c>
      <c r="P80" s="428">
        <v>44713</v>
      </c>
      <c r="Q80" s="429" t="str">
        <v>ChibaU - CHC</v>
      </c>
      <c r="R80" s="428">
        <v>45139</v>
      </c>
      <c r="S80" s="431" t="str">
        <v>Cargo shipment by CHU</v>
      </c>
      <c r="T80" s="431" t="str">
        <v>ChibaU - CHC</v>
      </c>
      <c r="U80" s="431" t="str">
        <v>-</v>
      </c>
      <c r="V80" s="433" t="str">
        <v>ComSur</v>
      </c>
      <c r="W80" s="76" t="str">
        <v>CHC - MCM</v>
      </c>
      <c r="X80" s="433" t="str">
        <v>-</v>
      </c>
      <c r="Y80" s="435" t="str">
        <v>USAP Air</v>
      </c>
      <c r="Z80" s="434">
        <v>45231</v>
      </c>
      <c r="AA80" s="427" t="str">
        <v>-</v>
      </c>
      <c r="AB80" s="435" t="str">
        <v>LC-130</v>
      </c>
      <c r="AC80" s="409">
        <v>45306</v>
      </c>
      <c r="AD80" s="409" t="str">
        <v>Yes</v>
      </c>
      <c r="AE80" s="409" t="str">
        <v>FY24 inter</v>
      </c>
      <c r="AF80" s="409" t="str">
        <v>FY24 intra</v>
      </c>
      <c r="AG80" s="409" t="str">
        <v>S. Yoshida</v>
      </c>
      <c r="AH80" s="409">
        <v>44461</v>
      </c>
      <c r="AI80" s="409" t="str">
        <v>D. Tosi</v>
      </c>
      <c r="AJ80" s="409">
        <v>44461</v>
      </c>
      <c r="AK80" s="409" t="str">
        <v>Pallet sizes are under review. SPARES number to be confirmed.  shipped in 20 and 40ft container. Container weight not included in the assumption that pallet will be taken out in CHC.</v>
      </c>
      <c r="AL80" s="9" t="str">
        <v/>
      </c>
    </row>
    <row r="81" spans="1:40" s="9" customFormat="1" ht="51" hidden="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35">
        <v>426</v>
      </c>
      <c r="P81" s="428">
        <v>44713</v>
      </c>
      <c r="Q81" s="429" t="str">
        <v>ChibaU - CHC</v>
      </c>
      <c r="R81" s="428">
        <v>45139</v>
      </c>
      <c r="S81" s="431" t="str">
        <v>Cargo shipment by CHU</v>
      </c>
      <c r="T81" s="431" t="str">
        <v>ChibaU - CHC</v>
      </c>
      <c r="U81" s="431" t="str">
        <v>-</v>
      </c>
      <c r="V81" s="433" t="str">
        <v>ComSur</v>
      </c>
      <c r="W81" s="76" t="str">
        <v>CHC - MCM</v>
      </c>
      <c r="X81" s="433" t="str">
        <v>-</v>
      </c>
      <c r="Y81" s="435" t="str">
        <v>USAP Air</v>
      </c>
      <c r="Z81" s="434">
        <v>45231</v>
      </c>
      <c r="AA81" s="427" t="str">
        <v>-</v>
      </c>
      <c r="AB81" s="435" t="str">
        <v>LC-130</v>
      </c>
      <c r="AC81" s="409">
        <v>45306</v>
      </c>
      <c r="AD81" s="409" t="str">
        <v>Yes</v>
      </c>
      <c r="AE81" s="409" t="str">
        <v>FY24 inter</v>
      </c>
      <c r="AF81" s="409" t="str">
        <v>FY24 intra</v>
      </c>
      <c r="AG81" s="409" t="str">
        <v>S. Yoshida</v>
      </c>
      <c r="AH81" s="409">
        <v>44461</v>
      </c>
      <c r="AI81" s="409" t="str">
        <v>D. Tosi</v>
      </c>
      <c r="AJ81" s="409">
        <v>44461</v>
      </c>
      <c r="AK81" s="409" t="str">
        <v>Pallet sizes are under review. shipped in 20 and 40ft container. Container weight not included in the assumption that pallet will be taken out in CHC.</v>
      </c>
      <c r="AL81" s="9" t="str">
        <v/>
      </c>
    </row>
    <row r="82" spans="1:40" s="9" customFormat="1" ht="51" hidden="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35">
        <v>426</v>
      </c>
      <c r="P82" s="428">
        <v>44713</v>
      </c>
      <c r="Q82" s="429" t="str">
        <v>ChibaU - CHC</v>
      </c>
      <c r="R82" s="428">
        <v>45139</v>
      </c>
      <c r="S82" s="431" t="str">
        <v>Cargo shipment by CHU</v>
      </c>
      <c r="T82" s="431" t="str">
        <v>ChibaU - CHC</v>
      </c>
      <c r="U82" s="431" t="str">
        <v>-</v>
      </c>
      <c r="V82" s="433" t="str">
        <v>ComSur</v>
      </c>
      <c r="W82" s="76" t="str">
        <v>CHC - MCM</v>
      </c>
      <c r="X82" s="433" t="str">
        <v>-</v>
      </c>
      <c r="Y82" s="435" t="str">
        <v>USAP Air</v>
      </c>
      <c r="Z82" s="434">
        <v>45231</v>
      </c>
      <c r="AA82" s="427" t="str">
        <v>-</v>
      </c>
      <c r="AB82" s="435" t="str">
        <v>LC-130</v>
      </c>
      <c r="AC82" s="409">
        <v>45306</v>
      </c>
      <c r="AD82" s="409" t="str">
        <v>Yes</v>
      </c>
      <c r="AE82" s="409" t="str">
        <v>FY24 inter</v>
      </c>
      <c r="AF82" s="409" t="str">
        <v>FY24 intra</v>
      </c>
      <c r="AG82" s="409" t="str">
        <v>S. Yoshida</v>
      </c>
      <c r="AH82" s="409">
        <v>44461</v>
      </c>
      <c r="AI82" s="409" t="str">
        <v>D. Tosi</v>
      </c>
      <c r="AJ82" s="409">
        <v>44461</v>
      </c>
      <c r="AK82" s="409" t="str">
        <v>Pallet sizes are under review. SPARES number to be confirmed. shipped in 20 and 40ft container. Container weight not included in the assumption that pallet will be taken out in CHC.</v>
      </c>
      <c r="AL82" s="9" t="str">
        <v/>
      </c>
    </row>
    <row r="83" spans="1:40" ht="51">
      <c r="A83" s="181">
        <v>1.3</v>
      </c>
      <c r="B83" s="166" t="str">
        <v>Installation</v>
      </c>
      <c r="C83" s="164" t="str">
        <v>String Sensors 89-93</v>
      </c>
      <c r="D83" s="164" t="str">
        <v>Sensors (D-Eggs) pallets with 8 sensors in McMurdo overwinter - Do Not Deep Freeze</v>
      </c>
      <c r="E83" s="176">
        <v>41</v>
      </c>
      <c r="F83" s="176">
        <v>41</v>
      </c>
      <c r="G83" s="176">
        <v>69</v>
      </c>
      <c r="H83" s="176">
        <v>10</v>
      </c>
      <c r="I83" s="154">
        <v>671.23263888888891</v>
      </c>
      <c r="J83" s="154">
        <v>750</v>
      </c>
      <c r="K83" s="154">
        <v>7500</v>
      </c>
      <c r="L83" s="152" t="str">
        <v>actual</v>
      </c>
      <c r="M83" s="168" t="str">
        <v>DNDF [-40C]</v>
      </c>
      <c r="N83" s="156" t="str">
        <v>Chiba</v>
      </c>
      <c r="O83" s="407">
        <v>61</v>
      </c>
      <c r="P83" s="158">
        <v>45078</v>
      </c>
      <c r="Q83" s="158" t="str">
        <v>ChibaU - CHC</v>
      </c>
      <c r="R83" s="158">
        <v>45139</v>
      </c>
      <c r="S83" s="160" t="str">
        <v>Cargo shipment by CHU</v>
      </c>
      <c r="T83" s="160" t="str">
        <v>ChibaU - CHC</v>
      </c>
      <c r="U83" s="160" t="str">
        <v>-</v>
      </c>
      <c r="V83" s="162" t="str">
        <v>ComSur</v>
      </c>
      <c r="W83" s="162" t="str">
        <v>CHC - MCM</v>
      </c>
      <c r="X83" s="162" t="str">
        <v>-</v>
      </c>
      <c r="Y83" s="157" t="str">
        <v>USAP Air</v>
      </c>
      <c r="Z83" s="169">
        <v>45597</v>
      </c>
      <c r="AA83" s="156" t="str">
        <v>-</v>
      </c>
      <c r="AB83" s="157" t="str">
        <v>LC-130</v>
      </c>
      <c r="AC83" s="157">
        <v>45621</v>
      </c>
      <c r="AD83" s="163" t="str">
        <v>Yes</v>
      </c>
      <c r="AE83" s="163" t="str">
        <v>FY25 inter</v>
      </c>
      <c r="AF83" s="163" t="str">
        <v>FY25 intra</v>
      </c>
      <c r="AG83" s="157" t="str">
        <v>S. Yoshida</v>
      </c>
      <c r="AH83" s="157">
        <v>44461</v>
      </c>
      <c r="AI83" s="157" t="str">
        <v>D. Tosi</v>
      </c>
      <c r="AJ83" s="157">
        <v>44461</v>
      </c>
      <c r="AK83" s="163" t="str">
        <v>Pallet sizes are under review. shipped in 20 and 40ft container. Container weight not included in the assumption that pallet will be taken out in CHC.</v>
      </c>
      <c r="AL83" s="146" t="str">
        <v/>
      </c>
    </row>
    <row r="84" spans="1:40" ht="51">
      <c r="A84" s="181">
        <v>1.3</v>
      </c>
      <c r="B84" s="166" t="str">
        <v>Installation</v>
      </c>
      <c r="C84" s="164" t="str">
        <v>String Sensors 89-93</v>
      </c>
      <c r="D84" s="164" t="str">
        <v>Sensors (D-Eggs) pallets with 12 sensors  in McMurdo overwinter - Do Not Deep Freeze</v>
      </c>
      <c r="E84" s="176">
        <v>60</v>
      </c>
      <c r="F84" s="176">
        <v>41</v>
      </c>
      <c r="G84" s="176">
        <v>69</v>
      </c>
      <c r="H84" s="176">
        <v>10</v>
      </c>
      <c r="I84" s="154">
        <v>982.29166666666674</v>
      </c>
      <c r="J84" s="154">
        <v>1102</v>
      </c>
      <c r="K84" s="154">
        <v>11020</v>
      </c>
      <c r="L84" s="152" t="str">
        <v>actual</v>
      </c>
      <c r="M84" s="168" t="str">
        <v>DNDF [-40C]</v>
      </c>
      <c r="N84" s="156" t="str">
        <v>Chiba</v>
      </c>
      <c r="O84" s="407">
        <v>61</v>
      </c>
      <c r="P84" s="158">
        <v>45078</v>
      </c>
      <c r="Q84" s="158" t="str">
        <v>ChibaU - CHC</v>
      </c>
      <c r="R84" s="158">
        <v>45139</v>
      </c>
      <c r="S84" s="160" t="str">
        <v>Cargo shipment by CHU</v>
      </c>
      <c r="T84" s="160" t="str">
        <v>ChibaU - CHC</v>
      </c>
      <c r="U84" s="160" t="str">
        <v>-</v>
      </c>
      <c r="V84" s="162" t="str">
        <v>ComSur</v>
      </c>
      <c r="W84" s="162" t="str">
        <v>CHC - MCM</v>
      </c>
      <c r="X84" s="162" t="str">
        <v>-</v>
      </c>
      <c r="Y84" s="157" t="str">
        <v>USAP Air</v>
      </c>
      <c r="Z84" s="169">
        <v>45597</v>
      </c>
      <c r="AA84" s="156" t="str">
        <v>-</v>
      </c>
      <c r="AB84" s="157" t="str">
        <v>LC-130</v>
      </c>
      <c r="AC84" s="157">
        <v>45621</v>
      </c>
      <c r="AD84" s="163" t="str">
        <v>Yes</v>
      </c>
      <c r="AE84" s="163" t="str">
        <v>FY25 inter</v>
      </c>
      <c r="AF84" s="163" t="str">
        <v>FY25 intra</v>
      </c>
      <c r="AG84" s="157" t="str">
        <v>S. Yoshida</v>
      </c>
      <c r="AH84" s="157">
        <v>44461</v>
      </c>
      <c r="AI84" s="157" t="str">
        <v>D. Tosi</v>
      </c>
      <c r="AJ84" s="157">
        <v>44461</v>
      </c>
      <c r="AK84" s="163" t="str">
        <v>Pallet sizes are under review. shipped in 20 and 40ft container. Container weight not included in the assumption that pallet will be taken out in CHC.</v>
      </c>
      <c r="AL84" s="146"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s="9" customFormat="1" ht="17.100000000000001" hidden="1">
      <c r="A86" s="72">
        <v>1.2</v>
      </c>
      <c r="B86" s="48" t="str">
        <v>Fuel</v>
      </c>
      <c r="C86" s="1" t="str">
        <v>Field Season 1 Fuel</v>
      </c>
      <c r="D86" s="1" t="str">
        <v>Fuel to support FY23 field season - Base fuel</v>
      </c>
      <c r="E86" s="38" t="str">
        <v/>
      </c>
      <c r="F86" s="38" t="str">
        <v/>
      </c>
      <c r="G86" s="38" t="str">
        <v/>
      </c>
      <c r="H86" s="38">
        <v>3191</v>
      </c>
      <c r="I86" s="450">
        <v>426.57462315454006</v>
      </c>
      <c r="J86" s="450">
        <v>6.8</v>
      </c>
      <c r="K86" s="4">
        <v>21698.799999999999</v>
      </c>
      <c r="L86" s="103" t="str">
        <v>preliminary</v>
      </c>
      <c r="M86" s="40" t="str">
        <v/>
      </c>
      <c r="N86" s="10" t="str">
        <v/>
      </c>
      <c r="O86" s="435" t="str">
        <v/>
      </c>
      <c r="P86" s="428" t="str">
        <v>-</v>
      </c>
      <c r="Q86" s="429" t="str">
        <v>-</v>
      </c>
      <c r="R86" s="428" t="str">
        <v>-</v>
      </c>
      <c r="S86" s="431" t="str">
        <v>-</v>
      </c>
      <c r="T86" s="431" t="str">
        <v>-</v>
      </c>
      <c r="U86" s="431" t="str">
        <v>-</v>
      </c>
      <c r="V86" s="433" t="str">
        <v>-</v>
      </c>
      <c r="W86" s="76" t="str">
        <v>-</v>
      </c>
      <c r="X86" s="433" t="str">
        <v>-</v>
      </c>
      <c r="Y86" s="435" t="str">
        <v>-</v>
      </c>
      <c r="Z86" s="434">
        <v>44866</v>
      </c>
      <c r="AA86" s="427" t="str">
        <v>-</v>
      </c>
      <c r="AB86" s="435" t="str">
        <v>LC-130/SPoT</v>
      </c>
      <c r="AC86" s="409">
        <v>44896</v>
      </c>
      <c r="AD86" s="409" t="str">
        <v>Yes</v>
      </c>
      <c r="AE86" s="409" t="str">
        <v>FY23 inter</v>
      </c>
      <c r="AF86" s="409" t="str">
        <v>FY23 intra</v>
      </c>
      <c r="AG86" s="409" t="str">
        <v>T. Benson</v>
      </c>
      <c r="AH86" s="409">
        <v>44483</v>
      </c>
      <c r="AI86" s="409" t="str">
        <v>I. McEwen</v>
      </c>
      <c r="AJ86" s="409">
        <v>44483</v>
      </c>
      <c r="AK86" s="409" t="str">
        <v/>
      </c>
      <c r="AL86" s="9" t="str">
        <v/>
      </c>
    </row>
    <row r="87" spans="1:40" s="9" customFormat="1" ht="17.100000000000001" hidden="1">
      <c r="A87" s="72">
        <v>1.2</v>
      </c>
      <c r="B87" s="48" t="str">
        <v/>
      </c>
      <c r="C87" s="1" t="str">
        <v>Field Season 1 Fuel Contingency</v>
      </c>
      <c r="D87" s="1" t="str">
        <v>Fuel to support FY23 field season - Contingency</v>
      </c>
      <c r="E87" s="38" t="str">
        <v/>
      </c>
      <c r="F87" s="38" t="str">
        <v/>
      </c>
      <c r="G87" s="38" t="str">
        <v/>
      </c>
      <c r="H87" s="4">
        <v>452</v>
      </c>
      <c r="I87" s="450">
        <v>60.423606915027293</v>
      </c>
      <c r="J87" s="450">
        <v>6.8</v>
      </c>
      <c r="K87" s="4">
        <v>3073.6</v>
      </c>
      <c r="L87" s="103" t="str">
        <v>preliminary</v>
      </c>
      <c r="M87" s="40" t="str">
        <v/>
      </c>
      <c r="N87" s="10" t="str">
        <v/>
      </c>
      <c r="O87" s="435" t="str">
        <v/>
      </c>
      <c r="P87" s="428" t="str">
        <v>-</v>
      </c>
      <c r="Q87" s="429" t="str">
        <v>-</v>
      </c>
      <c r="R87" s="428" t="str">
        <v>-</v>
      </c>
      <c r="S87" s="431" t="str">
        <v>-</v>
      </c>
      <c r="T87" s="431" t="str">
        <v>-</v>
      </c>
      <c r="U87" s="431" t="str">
        <v>-</v>
      </c>
      <c r="V87" s="433" t="str">
        <v>-</v>
      </c>
      <c r="W87" s="76" t="str">
        <v>-</v>
      </c>
      <c r="X87" s="433" t="str">
        <v>-</v>
      </c>
      <c r="Y87" s="435" t="str">
        <v>-</v>
      </c>
      <c r="Z87" s="434">
        <v>44866</v>
      </c>
      <c r="AA87" s="427" t="str">
        <v>-</v>
      </c>
      <c r="AB87" s="435" t="str">
        <v>LC-130/SPoT</v>
      </c>
      <c r="AC87" s="409">
        <v>44896</v>
      </c>
      <c r="AD87" s="409" t="str">
        <v>Yes</v>
      </c>
      <c r="AE87" s="409" t="str">
        <v>FY23 inter</v>
      </c>
      <c r="AF87" s="409" t="str">
        <v>FY23 intra</v>
      </c>
      <c r="AG87" s="409" t="str">
        <v>T. Benson</v>
      </c>
      <c r="AH87" s="409">
        <v>44483</v>
      </c>
      <c r="AI87" s="409" t="str">
        <v>I. McEwen</v>
      </c>
      <c r="AJ87" s="409">
        <v>44483</v>
      </c>
      <c r="AK87" s="409" t="str">
        <v/>
      </c>
      <c r="AL87" s="9" t="str">
        <v/>
      </c>
    </row>
    <row r="88" spans="1:40" s="9" customFormat="1" ht="17.100000000000001" hidden="1">
      <c r="A88" s="72">
        <v>1.2</v>
      </c>
      <c r="B88" s="48" t="str">
        <v/>
      </c>
      <c r="C88" s="1" t="str">
        <v>Field Season 2 Fuel</v>
      </c>
      <c r="D88" s="1" t="str">
        <v>Fuel to support FY24 field season - Base fuel, firn drilling &amp; over winter heating</v>
      </c>
      <c r="E88" s="38" t="str">
        <v/>
      </c>
      <c r="F88" s="38" t="str">
        <v/>
      </c>
      <c r="G88" s="38" t="str">
        <v/>
      </c>
      <c r="H88" s="40">
        <v>18178</v>
      </c>
      <c r="I88" s="450">
        <v>2430.0449701357657</v>
      </c>
      <c r="J88" s="450">
        <v>6.8</v>
      </c>
      <c r="K88" s="4">
        <v>123610.4</v>
      </c>
      <c r="L88" s="103" t="str">
        <v>preliminary</v>
      </c>
      <c r="M88" s="40" t="str">
        <v/>
      </c>
      <c r="N88" s="10" t="str">
        <v/>
      </c>
      <c r="O88" s="435" t="str">
        <v/>
      </c>
      <c r="P88" s="428" t="str">
        <v>-</v>
      </c>
      <c r="Q88" s="429" t="str">
        <v>-</v>
      </c>
      <c r="R88" s="428" t="str">
        <v>-</v>
      </c>
      <c r="S88" s="431" t="str">
        <v>-</v>
      </c>
      <c r="T88" s="431" t="str">
        <v>-</v>
      </c>
      <c r="U88" s="431" t="str">
        <v>-</v>
      </c>
      <c r="V88" s="433" t="str">
        <v>-</v>
      </c>
      <c r="W88" s="76" t="str">
        <v>-</v>
      </c>
      <c r="X88" s="433" t="str">
        <v>-</v>
      </c>
      <c r="Y88" s="435" t="str">
        <v>-</v>
      </c>
      <c r="Z88" s="434">
        <v>45231</v>
      </c>
      <c r="AA88" s="427" t="str">
        <v>-</v>
      </c>
      <c r="AB88" s="435" t="str">
        <v>LC-130/SPoT</v>
      </c>
      <c r="AC88" s="409">
        <v>45261</v>
      </c>
      <c r="AD88" s="409" t="str">
        <v>Yes</v>
      </c>
      <c r="AE88" s="409" t="str">
        <v>FY24 inter</v>
      </c>
      <c r="AF88" s="409" t="str">
        <v>FY24 intra</v>
      </c>
      <c r="AG88" s="409" t="str">
        <v>T. Benson</v>
      </c>
      <c r="AH88" s="409">
        <v>44483</v>
      </c>
      <c r="AI88" s="409" t="str">
        <v>I. McEwen</v>
      </c>
      <c r="AJ88" s="409">
        <v>44483</v>
      </c>
      <c r="AK88" s="409" t="str">
        <v/>
      </c>
      <c r="AL88" s="9" t="str">
        <v/>
      </c>
    </row>
    <row r="89" spans="1:40" s="9" customFormat="1" ht="17.100000000000001" hidden="1">
      <c r="A89" s="72">
        <v>1.2</v>
      </c>
      <c r="B89" s="48" t="str">
        <v/>
      </c>
      <c r="C89" s="1" t="str">
        <v>Field Season 2 Fuel Contingency</v>
      </c>
      <c r="D89" s="1" t="str">
        <v>Fuel to suppport FY24 field season - Contingency</v>
      </c>
      <c r="E89" s="38" t="str">
        <v/>
      </c>
      <c r="F89" s="38" t="str">
        <v/>
      </c>
      <c r="G89" s="38" t="str">
        <v/>
      </c>
      <c r="H89" s="40">
        <v>2373</v>
      </c>
      <c r="I89" s="450">
        <v>317.22393630389331</v>
      </c>
      <c r="J89" s="450">
        <v>6.8</v>
      </c>
      <c r="K89" s="4">
        <v>16136.4</v>
      </c>
      <c r="L89" s="103" t="str">
        <v>preliminary</v>
      </c>
      <c r="M89" s="40" t="str">
        <v/>
      </c>
      <c r="N89" s="10" t="str">
        <v/>
      </c>
      <c r="O89" s="435" t="str">
        <v/>
      </c>
      <c r="P89" s="428" t="str">
        <v>-</v>
      </c>
      <c r="Q89" s="429" t="str">
        <v>-</v>
      </c>
      <c r="R89" s="428" t="str">
        <v>-</v>
      </c>
      <c r="S89" s="431" t="str">
        <v>-</v>
      </c>
      <c r="T89" s="431" t="str">
        <v>-</v>
      </c>
      <c r="U89" s="431" t="str">
        <v>-</v>
      </c>
      <c r="V89" s="433" t="str">
        <v>-</v>
      </c>
      <c r="W89" s="76" t="str">
        <v>-</v>
      </c>
      <c r="X89" s="433" t="str">
        <v>-</v>
      </c>
      <c r="Y89" s="435" t="str">
        <v>-</v>
      </c>
      <c r="Z89" s="434">
        <v>45231</v>
      </c>
      <c r="AA89" s="427" t="str">
        <v>-</v>
      </c>
      <c r="AB89" s="435" t="str">
        <v>LC-130/SPoT</v>
      </c>
      <c r="AC89" s="409">
        <v>45261</v>
      </c>
      <c r="AD89" s="409" t="str">
        <v>Yes</v>
      </c>
      <c r="AE89" s="409" t="str">
        <v>FY24 inter</v>
      </c>
      <c r="AF89" s="409" t="str">
        <v>FY24 intra</v>
      </c>
      <c r="AG89" s="409" t="str">
        <v>T. Benson</v>
      </c>
      <c r="AH89" s="409">
        <v>44483</v>
      </c>
      <c r="AI89" s="409" t="str">
        <v>I. McEwen</v>
      </c>
      <c r="AJ89" s="409">
        <v>44483</v>
      </c>
      <c r="AK89" s="409" t="str">
        <v/>
      </c>
      <c r="AL89" s="9" t="str">
        <v/>
      </c>
    </row>
    <row r="90" spans="1:40" ht="17.100000000000001">
      <c r="A90" s="181">
        <v>1.2</v>
      </c>
      <c r="B90" s="166" t="str">
        <v/>
      </c>
      <c r="C90" s="164" t="str">
        <v>Field Season 3 Fuel</v>
      </c>
      <c r="D90" s="164" t="str">
        <v>Fuel to support FY25 field season - Base fuel &amp; deep drilling</v>
      </c>
      <c r="E90" s="176" t="str">
        <v/>
      </c>
      <c r="F90" s="176" t="str">
        <v/>
      </c>
      <c r="G90" s="176" t="str">
        <v/>
      </c>
      <c r="H90" s="177">
        <v>62694</v>
      </c>
      <c r="I90" s="386">
        <v>8380.9681679883215</v>
      </c>
      <c r="J90" s="386">
        <v>6.8</v>
      </c>
      <c r="K90" s="154">
        <v>426319.2</v>
      </c>
      <c r="L90" s="183" t="str">
        <v>preliminary</v>
      </c>
      <c r="M90" s="177" t="str">
        <v/>
      </c>
      <c r="N90" s="156" t="str">
        <v/>
      </c>
      <c r="O90" s="407" t="str">
        <v/>
      </c>
      <c r="P90" s="158" t="str">
        <v>-</v>
      </c>
      <c r="Q90" s="158" t="str">
        <v>-</v>
      </c>
      <c r="R90" s="158" t="str">
        <v>-</v>
      </c>
      <c r="S90" s="160" t="str">
        <v>-</v>
      </c>
      <c r="T90" s="160" t="str">
        <v>-</v>
      </c>
      <c r="U90" s="160" t="str">
        <v>-</v>
      </c>
      <c r="V90" s="162" t="str">
        <v>-</v>
      </c>
      <c r="W90" s="162" t="str">
        <v>-</v>
      </c>
      <c r="X90" s="162" t="str">
        <v>-</v>
      </c>
      <c r="Y90" s="157" t="str">
        <v>-</v>
      </c>
      <c r="Z90" s="169">
        <v>45597</v>
      </c>
      <c r="AA90" s="156" t="str">
        <v>-</v>
      </c>
      <c r="AB90" s="157" t="str">
        <v>LC-130/SPoT</v>
      </c>
      <c r="AC90" s="157">
        <v>45627</v>
      </c>
      <c r="AD90" s="163" t="str">
        <v>Yes</v>
      </c>
      <c r="AE90" s="163" t="str">
        <v>FY25 inter</v>
      </c>
      <c r="AF90" s="163" t="str">
        <v>FY25 intra</v>
      </c>
      <c r="AG90" s="157" t="str">
        <v>T. Benson</v>
      </c>
      <c r="AH90" s="157">
        <v>44483</v>
      </c>
      <c r="AI90" s="157" t="str">
        <v>I. McEwen</v>
      </c>
      <c r="AJ90" s="157">
        <v>44483</v>
      </c>
      <c r="AK90" s="163" t="str">
        <v/>
      </c>
      <c r="AL90" s="146" t="str">
        <v/>
      </c>
    </row>
    <row r="91" spans="1:40" ht="17.100000000000001">
      <c r="A91" s="181">
        <v>1.2</v>
      </c>
      <c r="B91" s="166" t="str">
        <v/>
      </c>
      <c r="C91" s="164" t="str">
        <v>Field Season 3 Fuel Contingency</v>
      </c>
      <c r="D91" s="164" t="str">
        <v>Fuel to suppport FY25 field season - Contingency</v>
      </c>
      <c r="E91" s="176" t="str">
        <v/>
      </c>
      <c r="F91" s="176" t="str">
        <v/>
      </c>
      <c r="G91" s="176" t="str">
        <v/>
      </c>
      <c r="H91" s="177">
        <v>8473</v>
      </c>
      <c r="I91" s="386">
        <v>1132.6752685642175</v>
      </c>
      <c r="J91" s="386">
        <v>6.8</v>
      </c>
      <c r="K91" s="154">
        <v>57616.4</v>
      </c>
      <c r="L91" s="183" t="str">
        <v>preliminary</v>
      </c>
      <c r="M91" s="177" t="str">
        <v/>
      </c>
      <c r="N91" s="156" t="str">
        <v/>
      </c>
      <c r="O91" s="407" t="str">
        <v/>
      </c>
      <c r="P91" s="158" t="str">
        <v>-</v>
      </c>
      <c r="Q91" s="158" t="str">
        <v>-</v>
      </c>
      <c r="R91" s="158" t="str">
        <v>-</v>
      </c>
      <c r="S91" s="160" t="str">
        <v>-</v>
      </c>
      <c r="T91" s="160" t="str">
        <v>-</v>
      </c>
      <c r="U91" s="160" t="str">
        <v>-</v>
      </c>
      <c r="V91" s="162" t="str">
        <v>-</v>
      </c>
      <c r="W91" s="162" t="str">
        <v>-</v>
      </c>
      <c r="X91" s="162" t="str">
        <v>-</v>
      </c>
      <c r="Y91" s="157" t="str">
        <v>-</v>
      </c>
      <c r="Z91" s="169">
        <v>45597</v>
      </c>
      <c r="AA91" s="156" t="str">
        <v>-</v>
      </c>
      <c r="AB91" s="157" t="str">
        <v>LC-130/SPoT</v>
      </c>
      <c r="AC91" s="157">
        <v>45627</v>
      </c>
      <c r="AD91" s="163" t="str">
        <v>Yes</v>
      </c>
      <c r="AE91" s="163" t="str">
        <v>FY25 inter</v>
      </c>
      <c r="AF91" s="163" t="str">
        <v>FY25 intra</v>
      </c>
      <c r="AG91" s="157" t="str">
        <v>T. Benson</v>
      </c>
      <c r="AH91" s="157">
        <v>44483</v>
      </c>
      <c r="AI91" s="157" t="str">
        <v>I. McEwen</v>
      </c>
      <c r="AJ91" s="157">
        <v>44483</v>
      </c>
      <c r="AK91" s="163" t="str">
        <v/>
      </c>
      <c r="AL91" s="146" t="str">
        <v/>
      </c>
    </row>
    <row r="92" spans="1:40" s="9" customFormat="1" ht="23.1" hidden="1" customHeight="1" thickTop="1">
      <c r="A92" s="25" t="str">
        <v/>
      </c>
      <c r="B92" s="25" t="str">
        <v/>
      </c>
      <c r="C92" s="3" t="str">
        <v>Fuel Totals:</v>
      </c>
      <c r="D92" s="42" t="str">
        <v/>
      </c>
      <c r="E92" s="43" t="str">
        <v/>
      </c>
      <c r="F92" s="43" t="str">
        <v/>
      </c>
      <c r="G92" s="44" t="str">
        <v>TEU=&gt;</v>
      </c>
      <c r="H92" s="45">
        <v>13.39066236666152</v>
      </c>
      <c r="I92" s="46">
        <v>12747.910573061765</v>
      </c>
      <c r="J92" s="46" t="str">
        <v/>
      </c>
      <c r="K92" s="46">
        <v>648454.80000000005</v>
      </c>
      <c r="L92" s="104" t="str">
        <v/>
      </c>
      <c r="M92" s="46" t="str">
        <v/>
      </c>
      <c r="N92" s="427" t="str">
        <v/>
      </c>
      <c r="O92" s="435" t="str">
        <v/>
      </c>
      <c r="P92" s="427" t="str">
        <v/>
      </c>
      <c r="Q92" s="435" t="str">
        <v/>
      </c>
      <c r="R92" s="427" t="str">
        <v/>
      </c>
      <c r="S92" s="427" t="str">
        <v/>
      </c>
      <c r="T92" s="427" t="str">
        <v/>
      </c>
      <c r="U92" s="427" t="str">
        <v/>
      </c>
      <c r="V92" s="427" t="str">
        <v/>
      </c>
      <c r="W92" s="427" t="str">
        <v/>
      </c>
      <c r="X92" s="427" t="str">
        <v/>
      </c>
      <c r="Y92" s="435" t="str">
        <v/>
      </c>
      <c r="Z92" s="434" t="str">
        <v/>
      </c>
      <c r="AA92" s="427" t="str">
        <v/>
      </c>
      <c r="AB92" s="435" t="str">
        <v/>
      </c>
      <c r="AC92" s="427" t="str">
        <v/>
      </c>
      <c r="AD92" s="427" t="str">
        <v/>
      </c>
      <c r="AE92" s="427" t="str">
        <v/>
      </c>
      <c r="AF92" s="427" t="str">
        <v/>
      </c>
      <c r="AG92" s="427" t="str">
        <v/>
      </c>
      <c r="AH92" s="427" t="str">
        <v/>
      </c>
      <c r="AI92" s="427" t="str">
        <v/>
      </c>
      <c r="AJ92" s="427" t="str">
        <v/>
      </c>
      <c r="AK92" s="427" t="str">
        <v/>
      </c>
      <c r="AL92" s="9" t="str">
        <v/>
      </c>
    </row>
    <row r="93" spans="1:40" s="9" customFormat="1" ht="15.95" hidden="1">
      <c r="A93" s="2" t="str">
        <v/>
      </c>
      <c r="B93" s="2" t="str">
        <v/>
      </c>
      <c r="C93" s="15" t="str">
        <v/>
      </c>
      <c r="D93" s="15"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84"/>
      <c r="D94" s="184"/>
      <c r="Z94" s="186"/>
    </row>
    <row r="95" spans="1:40">
      <c r="C95" s="184"/>
      <c r="D95" s="184"/>
      <c r="Z95" s="186"/>
    </row>
    <row r="96" spans="1:40">
      <c r="C96" s="184"/>
      <c r="D96" s="184"/>
      <c r="Z96" s="186"/>
    </row>
    <row r="97" spans="1:26">
      <c r="C97" s="184"/>
      <c r="D97" s="184"/>
      <c r="Z97" s="186"/>
    </row>
    <row r="98" spans="1:26">
      <c r="C98" s="184"/>
      <c r="D98" s="184"/>
      <c r="Z98" s="186"/>
    </row>
    <row r="99" spans="1:26">
      <c r="C99" s="184"/>
      <c r="D99" s="184"/>
      <c r="Z99" s="186"/>
    </row>
    <row r="100" spans="1:26">
      <c r="C100" s="184"/>
      <c r="D100" s="184"/>
      <c r="Z100" s="186"/>
    </row>
    <row r="101" spans="1:26">
      <c r="C101" s="184"/>
      <c r="D101" s="184"/>
      <c r="Z101" s="186"/>
    </row>
    <row r="102" spans="1:26">
      <c r="C102" s="184"/>
      <c r="D102" s="184"/>
      <c r="Z102" s="186"/>
    </row>
    <row r="103" spans="1:26">
      <c r="C103" s="184"/>
      <c r="D103" s="184"/>
      <c r="Z103" s="186"/>
    </row>
    <row r="104" spans="1:26">
      <c r="A104" s="187"/>
      <c r="B104" s="187"/>
      <c r="C104" s="184"/>
      <c r="D104" s="184"/>
      <c r="I104" s="188"/>
      <c r="J104" s="188"/>
      <c r="K104" s="188"/>
      <c r="L104" s="189"/>
      <c r="Z104" s="186"/>
    </row>
    <row r="105" spans="1:26">
      <c r="A105" s="187"/>
      <c r="B105" s="187"/>
      <c r="C105" s="184"/>
      <c r="D105" s="184"/>
      <c r="Z105" s="186"/>
    </row>
    <row r="106" spans="1:26">
      <c r="Z106" s="186"/>
    </row>
    <row r="107" spans="1:26">
      <c r="C107" s="184"/>
      <c r="D107" s="184"/>
      <c r="Z107" s="186"/>
    </row>
    <row r="108" spans="1:26">
      <c r="C108" s="184"/>
      <c r="D108" s="184"/>
      <c r="Z108" s="186"/>
    </row>
    <row r="109" spans="1:26">
      <c r="C109" s="184"/>
      <c r="D109" s="184"/>
      <c r="Z109" s="186"/>
    </row>
    <row r="110" spans="1:26">
      <c r="Z110" s="186"/>
    </row>
    <row r="111" spans="1:26">
      <c r="Z111" s="186"/>
    </row>
    <row r="112" spans="1:26">
      <c r="Z112" s="186"/>
    </row>
    <row r="113" spans="1:26">
      <c r="D113" s="192"/>
      <c r="Z113" s="186"/>
    </row>
    <row r="114" spans="1:26" ht="15.95" thickBot="1">
      <c r="D114" s="192"/>
      <c r="L114" s="191"/>
      <c r="Z114" s="186"/>
    </row>
    <row r="115" spans="1:26">
      <c r="A115" s="420"/>
      <c r="B115" s="421"/>
      <c r="C115" s="193" t="s">
        <v>475</v>
      </c>
      <c r="D115" s="194" t="s">
        <v>476</v>
      </c>
      <c r="Z115" s="186"/>
    </row>
    <row r="116" spans="1:26" ht="15" customHeight="1">
      <c r="A116" s="422" t="s">
        <v>477</v>
      </c>
      <c r="B116" s="423"/>
      <c r="C116" s="387">
        <f>SUBTOTAL(9,I2:I100)</f>
        <v>13958.265832385872</v>
      </c>
      <c r="D116" s="195">
        <f>SUBTOTAL(9,K2:K100)</f>
        <v>539984.6</v>
      </c>
      <c r="Z116" s="186"/>
    </row>
    <row r="117" spans="1:26" ht="15.95" customHeight="1" thickBot="1">
      <c r="A117" s="424" t="s">
        <v>478</v>
      </c>
      <c r="B117" s="425"/>
      <c r="C117" s="197">
        <f>SUMIFS(volume,mcMurdo_date,"&gt;="&amp;$A$120,mcMurdo_date,"&lt;="&amp;$B$120)</f>
        <v>13958.265832385872</v>
      </c>
      <c r="D117" s="198">
        <f>SUMIFS(weight_,mcMurdo_date,"&gt;="&amp;A$120,mcMurdo_date,"&lt;="&amp;$B$120)</f>
        <v>539984.6</v>
      </c>
      <c r="Z117" s="186"/>
    </row>
    <row r="118" spans="1:26" ht="32.1" customHeight="1" thickBot="1">
      <c r="D118" s="192"/>
      <c r="E118" s="196"/>
      <c r="Z118" s="186"/>
    </row>
    <row r="119" spans="1:26" ht="33" customHeight="1">
      <c r="A119" s="199" t="s">
        <v>479</v>
      </c>
      <c r="B119" s="193" t="s">
        <v>480</v>
      </c>
      <c r="C119" s="193"/>
      <c r="D119" s="194"/>
      <c r="J119" s="196"/>
      <c r="U119" s="196"/>
      <c r="Z119" s="186"/>
    </row>
    <row r="120" spans="1:26">
      <c r="A120" s="200">
        <f>'ICU_cargo MASTER INPUT SHEET'!A130</f>
        <v>45597</v>
      </c>
      <c r="B120" s="201">
        <f>'ICU_cargo MASTER INPUT SHEET'!B130</f>
        <v>45703</v>
      </c>
      <c r="D120" s="195"/>
      <c r="Z120" s="186"/>
    </row>
    <row r="121" spans="1:26" ht="15.95" thickBot="1">
      <c r="A121" s="424"/>
      <c r="B121" s="425"/>
      <c r="C121" s="197"/>
      <c r="D121" s="198"/>
      <c r="Z121" s="186"/>
    </row>
    <row r="122" spans="1:26" ht="15.95">
      <c r="E122" s="387"/>
      <c r="F122" s="202"/>
      <c r="G122" s="203"/>
      <c r="H122" s="203"/>
      <c r="Z122" s="186"/>
    </row>
    <row r="123" spans="1:26">
      <c r="Z123" s="186"/>
    </row>
    <row r="124" spans="1:26" ht="15.95">
      <c r="A124" s="202"/>
      <c r="B124" s="202"/>
      <c r="C124" s="203"/>
      <c r="D124" s="203"/>
      <c r="Z124" s="186"/>
    </row>
    <row r="125" spans="1:26" ht="15.95">
      <c r="A125" s="202"/>
      <c r="B125" s="202"/>
      <c r="C125" s="203"/>
      <c r="D125" s="203"/>
      <c r="Z125" s="186"/>
    </row>
    <row r="126" spans="1:26" ht="15.95">
      <c r="A126" s="202"/>
      <c r="B126" s="202"/>
      <c r="C126" s="203"/>
      <c r="D126" s="203"/>
      <c r="Z126" s="186"/>
    </row>
    <row r="127" spans="1:26" ht="15.95">
      <c r="A127" s="202"/>
      <c r="B127" s="202"/>
      <c r="C127" s="203"/>
      <c r="D127" s="203"/>
      <c r="Z127" s="186"/>
    </row>
    <row r="128" spans="1:26" ht="15.95">
      <c r="A128" s="202"/>
      <c r="B128" s="202"/>
      <c r="C128" s="203"/>
      <c r="D128" s="203"/>
      <c r="Z128" s="186"/>
    </row>
    <row r="129" spans="1:26" ht="15.95">
      <c r="A129" s="202"/>
      <c r="B129" s="202"/>
      <c r="C129" s="203"/>
      <c r="D129" s="203"/>
      <c r="Z129" s="186"/>
    </row>
    <row r="130" spans="1:26">
      <c r="Z130" s="186"/>
    </row>
    <row r="131" spans="1:26">
      <c r="Z131" s="186"/>
    </row>
    <row r="132" spans="1:26">
      <c r="Z132" s="186"/>
    </row>
    <row r="133" spans="1:26">
      <c r="Z133" s="186"/>
    </row>
    <row r="134" spans="1:26">
      <c r="Z134" s="186"/>
    </row>
    <row r="135" spans="1:26">
      <c r="Z135" s="186"/>
    </row>
    <row r="136" spans="1:26">
      <c r="Z136" s="186"/>
    </row>
    <row r="137" spans="1:26">
      <c r="Z137" s="186"/>
    </row>
    <row r="138" spans="1:26">
      <c r="Z138" s="186"/>
    </row>
    <row r="139" spans="1:26">
      <c r="Z139" s="186"/>
    </row>
    <row r="140" spans="1:26">
      <c r="Z140" s="186"/>
    </row>
    <row r="141" spans="1:26">
      <c r="Z141" s="186"/>
    </row>
    <row r="142" spans="1:26">
      <c r="Z142" s="186"/>
    </row>
    <row r="143" spans="1:26">
      <c r="Z143" s="186"/>
    </row>
    <row r="144" spans="1:26">
      <c r="Z144" s="186"/>
    </row>
    <row r="145" spans="26:26">
      <c r="Z145" s="186"/>
    </row>
    <row r="146" spans="26:26">
      <c r="Z146" s="186"/>
    </row>
    <row r="147" spans="26:26">
      <c r="Z147" s="186"/>
    </row>
    <row r="148" spans="26:26">
      <c r="Z148" s="186"/>
    </row>
    <row r="149" spans="26:26">
      <c r="Z149" s="186"/>
    </row>
    <row r="150" spans="26:26">
      <c r="Z150" s="186"/>
    </row>
    <row r="151" spans="26:26">
      <c r="Z151" s="186"/>
    </row>
    <row r="152" spans="26:26">
      <c r="Z152" s="186"/>
    </row>
    <row r="153" spans="26:26">
      <c r="Z153" s="186"/>
    </row>
    <row r="154" spans="26:26">
      <c r="Z154" s="186"/>
    </row>
    <row r="155" spans="26:26">
      <c r="Z155" s="186"/>
    </row>
    <row r="156" spans="26:26">
      <c r="Z156" s="186"/>
    </row>
    <row r="157" spans="26:26">
      <c r="Z157" s="186"/>
    </row>
    <row r="158" spans="26:26">
      <c r="Z158" s="186"/>
    </row>
    <row r="159" spans="26:26">
      <c r="Z159" s="186"/>
    </row>
    <row r="160" spans="26:26">
      <c r="Z160" s="186"/>
    </row>
    <row r="161" spans="26:26">
      <c r="Z161" s="186"/>
    </row>
    <row r="162" spans="26:26">
      <c r="Z162" s="186"/>
    </row>
    <row r="163" spans="26:26">
      <c r="Z163" s="186"/>
    </row>
    <row r="164" spans="26:26">
      <c r="Z164" s="186"/>
    </row>
    <row r="165" spans="26:26">
      <c r="Z165" s="186"/>
    </row>
    <row r="166" spans="26:26">
      <c r="Z166" s="186"/>
    </row>
    <row r="167" spans="26:26">
      <c r="Z167" s="186"/>
    </row>
    <row r="168" spans="26:26">
      <c r="Z168" s="186"/>
    </row>
    <row r="169" spans="26:26">
      <c r="Z169" s="186"/>
    </row>
    <row r="170" spans="26:26">
      <c r="Z170" s="186"/>
    </row>
    <row r="171" spans="26:26">
      <c r="Z171" s="186"/>
    </row>
    <row r="172" spans="26:26">
      <c r="Z172" s="186"/>
    </row>
    <row r="173" spans="26:26">
      <c r="Z173" s="186"/>
    </row>
    <row r="174" spans="26:26">
      <c r="Z174" s="186"/>
    </row>
    <row r="175" spans="26:26">
      <c r="Z175" s="186"/>
    </row>
    <row r="176" spans="26:26">
      <c r="Z176" s="186"/>
    </row>
    <row r="177" spans="26:26">
      <c r="Z177" s="186"/>
    </row>
    <row r="178" spans="26:26">
      <c r="Z178" s="186"/>
    </row>
    <row r="179" spans="26:26">
      <c r="Z179" s="186"/>
    </row>
    <row r="180" spans="26:26">
      <c r="Z180" s="186"/>
    </row>
    <row r="181" spans="26:26">
      <c r="Z181" s="186"/>
    </row>
    <row r="182" spans="26:26">
      <c r="Z182" s="186"/>
    </row>
    <row r="183" spans="26:26">
      <c r="Z183" s="186"/>
    </row>
    <row r="184" spans="26:26">
      <c r="Z184" s="186"/>
    </row>
    <row r="185" spans="26:26">
      <c r="Z185" s="186"/>
    </row>
    <row r="186" spans="26:26">
      <c r="Z186" s="186"/>
    </row>
    <row r="187" spans="26:26">
      <c r="Z187" s="186"/>
    </row>
    <row r="188" spans="26:26">
      <c r="Z188" s="186"/>
    </row>
    <row r="189" spans="26:26">
      <c r="Z189" s="186"/>
    </row>
    <row r="190" spans="26:26">
      <c r="Z190" s="186"/>
    </row>
    <row r="191" spans="26:26">
      <c r="Z191" s="186"/>
    </row>
    <row r="192" spans="26:26">
      <c r="Z192" s="186"/>
    </row>
    <row r="193" spans="26:26">
      <c r="Z193" s="186"/>
    </row>
    <row r="194" spans="26:26">
      <c r="Z194" s="186"/>
    </row>
    <row r="195" spans="26:26">
      <c r="Z195" s="186"/>
    </row>
    <row r="196" spans="26:26">
      <c r="Z196" s="186"/>
    </row>
    <row r="197" spans="26:26">
      <c r="Z197" s="186"/>
    </row>
    <row r="198" spans="26:26">
      <c r="Z198" s="186"/>
    </row>
    <row r="199" spans="26:26">
      <c r="Z199" s="186"/>
    </row>
    <row r="200" spans="26:26">
      <c r="Z200" s="186"/>
    </row>
    <row r="201" spans="26:26">
      <c r="Z201" s="186"/>
    </row>
    <row r="202" spans="26:26">
      <c r="Z202" s="186"/>
    </row>
    <row r="203" spans="26:26">
      <c r="Z203" s="186"/>
    </row>
    <row r="204" spans="26:26">
      <c r="Z204" s="186"/>
    </row>
    <row r="205" spans="26:26">
      <c r="Z205" s="186"/>
    </row>
    <row r="206" spans="26:26">
      <c r="Z206" s="186"/>
    </row>
    <row r="207" spans="26:26">
      <c r="Z207" s="186"/>
    </row>
    <row r="208" spans="26:26">
      <c r="Z208" s="186"/>
    </row>
    <row r="209" spans="26:26">
      <c r="Z209" s="186"/>
    </row>
    <row r="210" spans="26:26">
      <c r="Z210" s="186"/>
    </row>
    <row r="211" spans="26:26">
      <c r="Z211" s="186"/>
    </row>
    <row r="212" spans="26:26">
      <c r="Z212" s="186"/>
    </row>
    <row r="213" spans="26:26">
      <c r="Z213" s="186"/>
    </row>
    <row r="214" spans="26:26">
      <c r="Z214" s="186"/>
    </row>
    <row r="215" spans="26:26">
      <c r="Z215" s="186"/>
    </row>
    <row r="216" spans="26:26">
      <c r="Z216" s="186"/>
    </row>
    <row r="217" spans="26:26">
      <c r="Z217" s="186"/>
    </row>
    <row r="218" spans="26:26">
      <c r="Z218" s="186"/>
    </row>
    <row r="219" spans="26:26">
      <c r="Z219" s="186"/>
    </row>
    <row r="220" spans="26:26">
      <c r="Z220" s="186"/>
    </row>
    <row r="221" spans="26:26">
      <c r="Z221" s="186"/>
    </row>
    <row r="222" spans="26:26">
      <c r="Z222" s="186"/>
    </row>
    <row r="223" spans="26:26">
      <c r="Z223" s="186"/>
    </row>
    <row r="224" spans="26:26">
      <c r="Z224" s="186"/>
    </row>
    <row r="225" spans="26:26">
      <c r="Z225" s="186"/>
    </row>
    <row r="226" spans="26:26">
      <c r="Z226" s="186"/>
    </row>
    <row r="227" spans="26:26">
      <c r="Z227" s="186"/>
    </row>
    <row r="228" spans="26:26">
      <c r="Z228" s="186"/>
    </row>
    <row r="229" spans="26:26">
      <c r="Z229" s="186"/>
    </row>
    <row r="230" spans="26:26">
      <c r="Z230" s="186"/>
    </row>
    <row r="231" spans="26:26">
      <c r="Z231" s="186"/>
    </row>
    <row r="232" spans="26:26">
      <c r="Z232" s="186"/>
    </row>
    <row r="233" spans="26:26">
      <c r="Z233" s="186"/>
    </row>
    <row r="234" spans="26:26">
      <c r="Z234" s="186"/>
    </row>
    <row r="235" spans="26:26">
      <c r="Z235" s="186"/>
    </row>
    <row r="236" spans="26:26">
      <c r="Z236" s="186"/>
    </row>
    <row r="237" spans="26:26">
      <c r="Z237" s="186"/>
    </row>
    <row r="238" spans="26:26">
      <c r="Z238" s="186"/>
    </row>
    <row r="239" spans="26:26">
      <c r="Z239" s="186"/>
    </row>
    <row r="240" spans="26:26">
      <c r="Z240" s="186"/>
    </row>
    <row r="241" spans="26:26">
      <c r="Z241" s="186"/>
    </row>
    <row r="242" spans="26:26">
      <c r="Z242" s="186"/>
    </row>
    <row r="243" spans="26:26">
      <c r="Z243" s="186"/>
    </row>
    <row r="244" spans="26:26">
      <c r="Z244" s="186"/>
    </row>
    <row r="245" spans="26:26">
      <c r="Z245" s="186"/>
    </row>
    <row r="246" spans="26:26">
      <c r="Z246" s="186"/>
    </row>
    <row r="247" spans="26:26">
      <c r="Z247" s="186"/>
    </row>
    <row r="248" spans="26:26">
      <c r="Z248" s="186"/>
    </row>
    <row r="249" spans="26:26">
      <c r="Z249" s="186"/>
    </row>
    <row r="250" spans="26:26">
      <c r="Z250" s="186"/>
    </row>
    <row r="251" spans="26:26">
      <c r="Z251" s="186"/>
    </row>
    <row r="252" spans="26:26">
      <c r="Z252" s="186"/>
    </row>
    <row r="253" spans="26:26">
      <c r="Z253" s="186"/>
    </row>
    <row r="254" spans="26:26">
      <c r="Z254" s="186"/>
    </row>
    <row r="255" spans="26:26">
      <c r="Z255" s="186"/>
    </row>
    <row r="256" spans="26:26">
      <c r="Z256" s="186"/>
    </row>
    <row r="257" spans="26:26">
      <c r="Z257" s="186"/>
    </row>
    <row r="258" spans="26:26">
      <c r="Z258" s="186"/>
    </row>
    <row r="259" spans="26:26">
      <c r="Z259" s="186"/>
    </row>
    <row r="260" spans="26:26">
      <c r="Z260" s="186"/>
    </row>
    <row r="261" spans="26:26">
      <c r="Z261" s="186"/>
    </row>
    <row r="262" spans="26:26">
      <c r="Z262" s="186"/>
    </row>
    <row r="263" spans="26:26">
      <c r="Z263" s="186"/>
    </row>
  </sheetData>
  <sheetProtection sheet="1" objects="1" scenarios="1" formatCells="0" formatColumns="0" formatRows="0" sort="0" autoFilter="0"/>
  <autoFilter ref="A1:AN93" xr:uid="{B574474E-C54B-E045-A904-728879A1E0B1}">
    <filterColumn colId="24">
      <filters>
        <dateGroupItem year="2024" month="11" dateTimeGrouping="month"/>
      </filters>
    </filterColumn>
  </autoFilter>
  <mergeCells count="4">
    <mergeCell ref="A115:B115"/>
    <mergeCell ref="A116:B116"/>
    <mergeCell ref="A117:B117"/>
    <mergeCell ref="A121:B121"/>
  </mergeCells>
  <conditionalFormatting sqref="C118:C122">
    <cfRule type="cellIs" dxfId="10" priority="6" operator="equal">
      <formula>$I$92</formula>
    </cfRule>
  </conditionalFormatting>
  <conditionalFormatting sqref="D118:D122">
    <cfRule type="cellIs" dxfId="9" priority="7" operator="equal">
      <formula>$K$92</formula>
    </cfRule>
  </conditionalFormatting>
  <conditionalFormatting sqref="E122">
    <cfRule type="cellIs" dxfId="8" priority="5" operator="equal">
      <formula>$I$92</formula>
    </cfRule>
  </conditionalFormatting>
  <conditionalFormatting sqref="D116">
    <cfRule type="cellIs" dxfId="7" priority="4" operator="equal">
      <formula>$D$117</formula>
    </cfRule>
  </conditionalFormatting>
  <conditionalFormatting sqref="D117">
    <cfRule type="cellIs" dxfId="6" priority="3" operator="equal">
      <formula>$D$116</formula>
    </cfRule>
  </conditionalFormatting>
  <conditionalFormatting sqref="C116">
    <cfRule type="cellIs" dxfId="5" priority="2" operator="equal">
      <formula>$C$117</formula>
    </cfRule>
  </conditionalFormatting>
  <conditionalFormatting sqref="C117">
    <cfRule type="cellIs" dxfId="4" priority="1" operator="equal">
      <formula>$C$116</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C8815-DE83-5C4F-8092-5FD95B79DD18}">
  <sheetPr filterMode="1"/>
  <dimension ref="A1:AN353"/>
  <sheetViews>
    <sheetView topLeftCell="K1" workbookViewId="0">
      <selection activeCell="O1" sqref="O1:O1048576"/>
    </sheetView>
  </sheetViews>
  <sheetFormatPr defaultColWidth="9.140625" defaultRowHeight="15"/>
  <cols>
    <col min="1" max="2" width="12.85546875" style="146" customWidth="1"/>
    <col min="3" max="3" width="28" style="190" customWidth="1"/>
    <col min="4" max="4" width="73.7109375" style="190" customWidth="1"/>
    <col min="5" max="7" width="12" style="146" customWidth="1"/>
    <col min="8" max="8" width="10.140625" style="146" customWidth="1"/>
    <col min="9" max="10" width="8.7109375" style="146" customWidth="1"/>
    <col min="11" max="11" width="10" style="146" customWidth="1"/>
    <col min="12" max="12" width="16.28515625" style="185" customWidth="1"/>
    <col min="13" max="13" width="12.7109375" style="146" customWidth="1"/>
    <col min="14" max="14" width="17.140625" style="146" customWidth="1"/>
    <col min="15" max="15" width="17.140625" style="408" customWidth="1"/>
    <col min="16" max="16" width="17.7109375" style="186" customWidth="1"/>
    <col min="17" max="18" width="16.7109375" style="186" customWidth="1"/>
    <col min="19" max="19" width="17.7109375" style="146" customWidth="1"/>
    <col min="20" max="20" width="16.7109375" style="146" customWidth="1"/>
    <col min="21" max="21" width="16.7109375" style="186" customWidth="1"/>
    <col min="22" max="22" width="17.7109375" style="146" customWidth="1"/>
    <col min="23" max="23" width="16.7109375" style="146" customWidth="1"/>
    <col min="24" max="24" width="16.7109375" style="186" customWidth="1"/>
    <col min="25" max="25" width="18.85546875" style="186" customWidth="1"/>
    <col min="26" max="26" width="19.7109375" style="384" customWidth="1"/>
    <col min="27" max="29" width="16.42578125" style="186" customWidth="1"/>
    <col min="30" max="32" width="16.42578125" style="146" customWidth="1"/>
    <col min="33" max="36" width="16.42578125" style="186" customWidth="1"/>
    <col min="37" max="37" width="60.7109375" style="146" customWidth="1"/>
    <col min="38" max="16384" width="9.140625" style="146"/>
  </cols>
  <sheetData>
    <row r="1" spans="1:40" ht="102">
      <c r="A1" s="140" t="str" cm="1">
        <f t="array" ref="A1:AL93">IF(ISBLANK(cargo_table), "", cargo_table)</f>
        <v>Cargo Item  respective WBS Level</v>
      </c>
      <c r="B1" s="140" t="str">
        <v>Work Package</v>
      </c>
      <c r="C1" s="141" t="str">
        <v>Item Description</v>
      </c>
      <c r="D1" s="141" t="str">
        <v>Contents &amp; Comments</v>
      </c>
      <c r="E1" s="140" t="str">
        <v>Length (in)</v>
      </c>
      <c r="F1" s="140" t="str">
        <v>Width (in)</v>
      </c>
      <c r="G1" s="140" t="str">
        <v>Height (in)</v>
      </c>
      <c r="H1" s="140" t="str">
        <v>Quantity</v>
      </c>
      <c r="I1" s="140" t="str">
        <v xml:space="preserve"> Cubic feet</v>
      </c>
      <c r="J1" s="140" t="str">
        <v>Unit weight (lbs)</v>
      </c>
      <c r="K1" s="140" t="str">
        <v>Total Weight (lbs) = quantity x unit weight</v>
      </c>
      <c r="L1" s="140" t="str">
        <v>Basis of Estimate</v>
      </c>
      <c r="M1" s="140" t="str">
        <v>Special Handling?</v>
      </c>
      <c r="N1" s="140" t="str">
        <v xml:space="preserve">Owner/Guardian institution </v>
      </c>
      <c r="O1" s="406" t="str">
        <v>Time between date of completion and shipping date</v>
      </c>
      <c r="P1" s="143" t="str">
        <v xml:space="preserve">Date of expected  or actual  completion </v>
      </c>
      <c r="Q1" s="143" t="str">
        <v>Expected Route:  Owner - PTH or CHC</v>
      </c>
      <c r="R1" s="143" t="str">
        <v xml:space="preserve">Date of expected or actual shipment </v>
      </c>
      <c r="S1" s="144" t="str">
        <v>Recommended Transportation Option</v>
      </c>
      <c r="T1" s="144" t="str">
        <v>Expected Route: PTH - MCM or CHC</v>
      </c>
      <c r="U1" s="388" t="str">
        <v xml:space="preserve">Date of expected or actual shipment </v>
      </c>
      <c r="V1" s="145" t="str">
        <v>Recommended Transportation Option</v>
      </c>
      <c r="W1" s="145" t="str">
        <v>Expected Route: CHC - MCM</v>
      </c>
      <c r="X1" s="390" t="str">
        <v xml:space="preserve">Date of expected or actual shipment </v>
      </c>
      <c r="Y1" s="142" t="str">
        <v>Recommended Transportation Option</v>
      </c>
      <c r="Z1" s="142" t="str">
        <v>Date Item expected or arrived to MCM</v>
      </c>
      <c r="AA1" s="142" t="str">
        <v xml:space="preserve">Date of (planned) or actual shipment to SPA </v>
      </c>
      <c r="AB1" s="142" t="str">
        <v>Recommended LC-130 or SPOT</v>
      </c>
      <c r="AC1" s="142" t="str">
        <v>Date/Month for Items needed at South Pole</v>
      </c>
      <c r="AD1" s="140" t="str">
        <v>Critical Path</v>
      </c>
      <c r="AE1" s="140" t="str">
        <v>Intercontinental shipping</v>
      </c>
      <c r="AF1" s="140" t="str">
        <v>Intracontinental shipping</v>
      </c>
      <c r="AG1" s="142" t="str">
        <v>Validator 1
(SME)</v>
      </c>
      <c r="AH1" s="142" t="str">
        <v>Validation Date</v>
      </c>
      <c r="AI1" s="142" t="str">
        <v>Validator 2
(Logistics)</v>
      </c>
      <c r="AJ1" s="142" t="str">
        <v>Validation Date</v>
      </c>
      <c r="AK1" s="140" t="str">
        <v>Notes</v>
      </c>
      <c r="AL1" s="146" t="str">
        <v/>
      </c>
    </row>
    <row r="2" spans="1:40" s="9" customFormat="1" ht="33.950000000000003" hidden="1">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8">
        <v>43867</v>
      </c>
      <c r="Q2" s="429" t="str">
        <v>In McMurdo</v>
      </c>
      <c r="R2" s="428" t="str">
        <v>-</v>
      </c>
      <c r="S2" s="430" t="str">
        <v>-</v>
      </c>
      <c r="T2" s="431" t="str">
        <v>In McMurdo</v>
      </c>
      <c r="U2" s="431" t="str">
        <v>-</v>
      </c>
      <c r="V2" s="432" t="str">
        <v>-</v>
      </c>
      <c r="W2" s="433" t="str">
        <v>In McMurdo</v>
      </c>
      <c r="X2" s="433" t="str">
        <v>-</v>
      </c>
      <c r="Y2" s="88" t="str">
        <v>-</v>
      </c>
      <c r="Z2" s="434" t="str">
        <v>In McMurdo</v>
      </c>
      <c r="AA2" s="409" t="str">
        <v>-</v>
      </c>
      <c r="AB2" s="435" t="str">
        <v>SPoT</v>
      </c>
      <c r="AC2" s="409">
        <v>45261</v>
      </c>
      <c r="AD2" s="409" t="str">
        <v>Yes</v>
      </c>
      <c r="AE2" s="409" t="str">
        <v>In McMurdo</v>
      </c>
      <c r="AF2" s="409" t="str">
        <v>FY24 intra</v>
      </c>
      <c r="AG2" s="409" t="str">
        <v>D. Gibson</v>
      </c>
      <c r="AH2" s="409">
        <v>44475</v>
      </c>
      <c r="AI2" s="409" t="str">
        <v>I. McEwen</v>
      </c>
      <c r="AJ2" s="10">
        <v>44475</v>
      </c>
      <c r="AK2" s="409" t="str">
        <v>Will require crane for onload/offload  - use belly band to support container sidewalls during lift.</v>
      </c>
      <c r="AL2" s="9" t="str">
        <v/>
      </c>
    </row>
    <row r="3" spans="1:40" s="9" customFormat="1" ht="51" hidden="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8">
        <v>43845</v>
      </c>
      <c r="Q3" s="429" t="str">
        <v>In McMurdo</v>
      </c>
      <c r="R3" s="428" t="str">
        <v>-</v>
      </c>
      <c r="S3" s="430" t="str">
        <v>-</v>
      </c>
      <c r="T3" s="431" t="str">
        <v>In McMurdo</v>
      </c>
      <c r="U3" s="431" t="str">
        <v>-</v>
      </c>
      <c r="V3" s="432" t="str">
        <v>-</v>
      </c>
      <c r="W3" s="433" t="str">
        <v>In McMurdo</v>
      </c>
      <c r="X3" s="433" t="str">
        <v>-</v>
      </c>
      <c r="Y3" s="88" t="str">
        <v>-</v>
      </c>
      <c r="Z3" s="434" t="str">
        <v>In McMurdo</v>
      </c>
      <c r="AA3" s="409" t="str">
        <v>-</v>
      </c>
      <c r="AB3" s="435" t="str">
        <v>SPoT</v>
      </c>
      <c r="AC3" s="409">
        <v>44927</v>
      </c>
      <c r="AD3" s="409" t="str">
        <v>Yes</v>
      </c>
      <c r="AE3" s="409" t="str">
        <v>In McMurdo</v>
      </c>
      <c r="AF3" s="409" t="str">
        <v>FY23 intra</v>
      </c>
      <c r="AG3" s="409" t="str">
        <v>D. Gibson</v>
      </c>
      <c r="AH3" s="409">
        <v>44475</v>
      </c>
      <c r="AI3" s="409" t="str">
        <v>I. McEwen</v>
      </c>
      <c r="AJ3" s="10">
        <v>44475</v>
      </c>
      <c r="AK3" s="10" t="str">
        <v>Gens 2 &amp; 3 need to be tranferred from ISO2 sleds that are limited to use on improved surfaces only. Will require crane for onload/offload  - use belly band to support container sidewalls during lift.</v>
      </c>
      <c r="AL3" s="9" t="str">
        <v/>
      </c>
    </row>
    <row r="4" spans="1:40" s="9" customFormat="1" ht="42.95" hidden="1"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8">
        <v>43845</v>
      </c>
      <c r="Q4" s="429" t="str">
        <v>In McMurdo</v>
      </c>
      <c r="R4" s="428" t="str">
        <v>-</v>
      </c>
      <c r="S4" s="430" t="str">
        <v>-</v>
      </c>
      <c r="T4" s="431" t="str">
        <v>In McMurdo</v>
      </c>
      <c r="U4" s="431" t="str">
        <v>-</v>
      </c>
      <c r="V4" s="432" t="str">
        <v>-</v>
      </c>
      <c r="W4" s="433" t="str">
        <v>In McMurdo</v>
      </c>
      <c r="X4" s="433" t="str">
        <v>-</v>
      </c>
      <c r="Y4" s="88" t="str">
        <v>-</v>
      </c>
      <c r="Z4" s="434" t="str">
        <v>In McMurdo</v>
      </c>
      <c r="AA4" s="409" t="str">
        <v>-</v>
      </c>
      <c r="AB4" s="435" t="str">
        <v>SPoT</v>
      </c>
      <c r="AC4" s="409">
        <v>44896</v>
      </c>
      <c r="AD4" s="409" t="str">
        <v>Yes</v>
      </c>
      <c r="AE4" s="409" t="str">
        <v>In McMurdo</v>
      </c>
      <c r="AF4" s="409" t="str">
        <v>FY23 intra</v>
      </c>
      <c r="AG4" s="409" t="str">
        <v>D. Gibson</v>
      </c>
      <c r="AH4" s="409">
        <v>44475</v>
      </c>
      <c r="AI4" s="409" t="str">
        <v>I. McEwen</v>
      </c>
      <c r="AJ4" s="10">
        <v>44475</v>
      </c>
      <c r="AK4" s="409" t="str">
        <v>Gens 2 &amp; 3 need to be tranferred from ISO2 sleds that are limited to use on improved surfaces only. Will require crane for onload/offload  - use belly band to support container sidewalls during lift.</v>
      </c>
      <c r="AL4" s="9" t="str">
        <v/>
      </c>
    </row>
    <row r="5" spans="1:40" s="9" customFormat="1" ht="34.5" hidden="1"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8">
        <v>43753</v>
      </c>
      <c r="Q5" s="94" t="str">
        <v>In McMurdo</v>
      </c>
      <c r="R5" s="428">
        <v>43784</v>
      </c>
      <c r="S5" s="430" t="str">
        <v>Truck</v>
      </c>
      <c r="T5" s="431" t="str">
        <v>In McMurdo</v>
      </c>
      <c r="U5" s="431" t="str">
        <v>-</v>
      </c>
      <c r="V5" s="432" t="str">
        <v>-</v>
      </c>
      <c r="W5" s="433" t="str">
        <v>In McMurdo</v>
      </c>
      <c r="X5" s="433" t="str">
        <v>-</v>
      </c>
      <c r="Y5" s="88" t="str">
        <v>-</v>
      </c>
      <c r="Z5" s="434" t="str">
        <v>In McMurdo</v>
      </c>
      <c r="AA5" s="427" t="str">
        <v>-</v>
      </c>
      <c r="AB5" s="435" t="str">
        <v>LC-130/SPoT</v>
      </c>
      <c r="AC5" s="409">
        <v>44896</v>
      </c>
      <c r="AD5" s="409" t="str">
        <v>No*</v>
      </c>
      <c r="AE5" s="409" t="str">
        <v>In McMurdo</v>
      </c>
      <c r="AF5" s="409" t="str">
        <v>FY23 intra</v>
      </c>
      <c r="AG5" s="409" t="str">
        <v>D. Gibson</v>
      </c>
      <c r="AH5" s="409">
        <v>44476</v>
      </c>
      <c r="AI5" s="409" t="str">
        <v>I. McEwen</v>
      </c>
      <c r="AJ5" s="52">
        <v>44476</v>
      </c>
      <c r="AK5" s="409" t="str">
        <v>*Required onsite early in FY23 for refit/pre-drill activity support unless ASC can supply dedicated loader for Upgrade use</v>
      </c>
      <c r="AL5" s="9" t="str">
        <v/>
      </c>
    </row>
    <row r="6" spans="1:40" s="9" customFormat="1" ht="44.1" hidden="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8">
        <v>43814</v>
      </c>
      <c r="Q6" s="113" t="str">
        <v>In McMurdo</v>
      </c>
      <c r="R6" s="428" t="str">
        <v/>
      </c>
      <c r="S6" s="431" t="str">
        <v/>
      </c>
      <c r="T6" s="431" t="str">
        <v>In McMurdo</v>
      </c>
      <c r="U6" s="431" t="str">
        <v>-</v>
      </c>
      <c r="V6" s="433" t="str">
        <v>-</v>
      </c>
      <c r="W6" s="433" t="str">
        <v>In McMurdo</v>
      </c>
      <c r="X6" s="433" t="str">
        <v>-</v>
      </c>
      <c r="Y6" s="88" t="str">
        <v>-</v>
      </c>
      <c r="Z6" s="434" t="str">
        <v>In McMurdo</v>
      </c>
      <c r="AA6" s="427" t="str">
        <v>-</v>
      </c>
      <c r="AB6" s="435" t="str">
        <v>LC-130/SPoT</v>
      </c>
      <c r="AC6" s="409">
        <v>45292</v>
      </c>
      <c r="AD6" s="409" t="str">
        <v>No</v>
      </c>
      <c r="AE6" s="409" t="str">
        <v>In McMurdo</v>
      </c>
      <c r="AF6" s="409" t="str">
        <v>FY24 intra</v>
      </c>
      <c r="AG6" s="409" t="str">
        <v>D. Gibson</v>
      </c>
      <c r="AH6" s="409">
        <v>44477</v>
      </c>
      <c r="AI6" s="409" t="str">
        <v>I. McEwen</v>
      </c>
      <c r="AJ6" s="409">
        <v>44477</v>
      </c>
      <c r="AK6" s="409" t="str">
        <v>Testing/limited operation of Gens can be accomplished without hoods - Hoods required for the drill season</v>
      </c>
      <c r="AL6" s="9" t="str">
        <v/>
      </c>
    </row>
    <row r="7" spans="1:40" s="9" customFormat="1" ht="38.25" hidden="1"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8">
        <v>43845</v>
      </c>
      <c r="Q7" s="429" t="str">
        <v>In McMurdo</v>
      </c>
      <c r="R7" s="428" t="str">
        <v/>
      </c>
      <c r="S7" s="431" t="str">
        <v/>
      </c>
      <c r="T7" s="431" t="str">
        <v>In McMurdo</v>
      </c>
      <c r="U7" s="431" t="str">
        <v>-</v>
      </c>
      <c r="V7" s="433" t="str">
        <v>-</v>
      </c>
      <c r="W7" s="433" t="str">
        <v>In McMurdo</v>
      </c>
      <c r="X7" s="433" t="str">
        <v>-</v>
      </c>
      <c r="Y7" s="88" t="str">
        <v>-</v>
      </c>
      <c r="Z7" s="434" t="str">
        <v>In McMurdo</v>
      </c>
      <c r="AA7" s="427" t="str">
        <v>-</v>
      </c>
      <c r="AB7" s="435" t="str">
        <v>LC-130/SPoT</v>
      </c>
      <c r="AC7" s="409">
        <v>45261</v>
      </c>
      <c r="AD7" s="409" t="str">
        <v>Yes</v>
      </c>
      <c r="AE7" s="409" t="str">
        <v>In McMurdo</v>
      </c>
      <c r="AF7" s="409" t="str">
        <v>FY24 intra</v>
      </c>
      <c r="AG7" s="409" t="str">
        <v>D. Gibson</v>
      </c>
      <c r="AH7" s="409">
        <v>44477</v>
      </c>
      <c r="AI7" s="409" t="str">
        <v>I. McEwen</v>
      </c>
      <c r="AJ7" s="409">
        <v>44477</v>
      </c>
      <c r="AK7" s="409" t="str">
        <v>Bermed in McMurdo - SPOTSA</v>
      </c>
      <c r="AL7" s="9" t="str">
        <v/>
      </c>
    </row>
    <row r="8" spans="1:40" s="9" customFormat="1" ht="17.100000000000001" hidden="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8">
        <v>43845</v>
      </c>
      <c r="Q8" s="429" t="str">
        <v>In McMurdo</v>
      </c>
      <c r="R8" s="428" t="str">
        <v>-</v>
      </c>
      <c r="S8" s="431" t="str">
        <v>-</v>
      </c>
      <c r="T8" s="431" t="str">
        <v>In McMurdo</v>
      </c>
      <c r="U8" s="431" t="str">
        <v>-</v>
      </c>
      <c r="V8" s="432" t="str">
        <v>-</v>
      </c>
      <c r="W8" s="433" t="str">
        <v>In McMurdo</v>
      </c>
      <c r="X8" s="433" t="str">
        <v>-</v>
      </c>
      <c r="Y8" s="88" t="str">
        <v>-</v>
      </c>
      <c r="Z8" s="434" t="str">
        <v>In McMurdo</v>
      </c>
      <c r="AA8" s="427" t="str">
        <v>-</v>
      </c>
      <c r="AB8" s="435" t="str">
        <v>LC-130/SPoT</v>
      </c>
      <c r="AC8" s="409">
        <v>45261</v>
      </c>
      <c r="AD8" s="409" t="str">
        <v>Yes</v>
      </c>
      <c r="AE8" s="409" t="str">
        <v>In McMurdo</v>
      </c>
      <c r="AF8" s="409" t="str">
        <v>FY24 intra</v>
      </c>
      <c r="AG8" s="409" t="str">
        <v>D. Gibson</v>
      </c>
      <c r="AH8" s="409">
        <v>44477</v>
      </c>
      <c r="AI8" s="409" t="str">
        <v>I. McEwen</v>
      </c>
      <c r="AJ8" s="409">
        <v>44477</v>
      </c>
      <c r="AK8" s="409" t="str">
        <v/>
      </c>
      <c r="AL8" s="9" t="str">
        <v/>
      </c>
    </row>
    <row r="9" spans="1:40" s="9" customFormat="1" ht="17.100000000000001" hidden="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8">
        <v>43845</v>
      </c>
      <c r="Q9" s="429" t="str">
        <v>In McMurdo</v>
      </c>
      <c r="R9" s="428" t="str">
        <v>-</v>
      </c>
      <c r="S9" s="431" t="str">
        <v>-</v>
      </c>
      <c r="T9" s="431" t="str">
        <v>In McMurdo</v>
      </c>
      <c r="U9" s="431" t="str">
        <v>-</v>
      </c>
      <c r="V9" s="432" t="str">
        <v>-</v>
      </c>
      <c r="W9" s="433" t="str">
        <v>In McMurdo</v>
      </c>
      <c r="X9" s="433" t="str">
        <v>-</v>
      </c>
      <c r="Y9" s="88" t="str">
        <v>-</v>
      </c>
      <c r="Z9" s="434" t="str">
        <v>In McMurdo</v>
      </c>
      <c r="AA9" s="427" t="str">
        <v>-</v>
      </c>
      <c r="AB9" s="435" t="str">
        <v>LC-130/SPoT</v>
      </c>
      <c r="AC9" s="409">
        <v>45261</v>
      </c>
      <c r="AD9" s="409" t="str">
        <v>Yes</v>
      </c>
      <c r="AE9" s="409" t="str">
        <v>In McMurdo</v>
      </c>
      <c r="AF9" s="409" t="str">
        <v>FY24 intra</v>
      </c>
      <c r="AG9" s="409" t="str">
        <v>D. Gibson</v>
      </c>
      <c r="AH9" s="409">
        <v>44477</v>
      </c>
      <c r="AI9" s="409" t="str">
        <v>I. McEwen</v>
      </c>
      <c r="AJ9" s="409">
        <v>44477</v>
      </c>
      <c r="AK9" s="409" t="str">
        <v/>
      </c>
      <c r="AL9" s="9" t="str">
        <v/>
      </c>
    </row>
    <row r="10" spans="1:40" s="91" customFormat="1" ht="31.5" hidden="1"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8">
        <v>43845</v>
      </c>
      <c r="Q10" s="429" t="str">
        <v>In McMurdo</v>
      </c>
      <c r="R10" s="428" t="str">
        <v/>
      </c>
      <c r="S10" s="431" t="str">
        <v/>
      </c>
      <c r="T10" s="431" t="str">
        <v>In McMurdo</v>
      </c>
      <c r="U10" s="431" t="str">
        <v>-</v>
      </c>
      <c r="V10" s="433" t="str">
        <v>-</v>
      </c>
      <c r="W10" s="433" t="str">
        <v>In McMurdo</v>
      </c>
      <c r="X10" s="433" t="str">
        <v>-</v>
      </c>
      <c r="Y10" s="88" t="str">
        <v>-</v>
      </c>
      <c r="Z10" s="434" t="str">
        <v>In McMurdo</v>
      </c>
      <c r="AA10" s="427" t="str">
        <v>-</v>
      </c>
      <c r="AB10" s="435" t="str">
        <v>LC-130/SPoT</v>
      </c>
      <c r="AC10" s="409">
        <v>45275</v>
      </c>
      <c r="AD10" s="409" t="str">
        <v>No</v>
      </c>
      <c r="AE10" s="409" t="str">
        <v>In McMurdo</v>
      </c>
      <c r="AF10" s="409" t="str">
        <v>FY24 intra</v>
      </c>
      <c r="AG10" s="409" t="str">
        <v>D. Gibson</v>
      </c>
      <c r="AH10" s="409">
        <v>44477</v>
      </c>
      <c r="AI10" s="409" t="str">
        <v>I. McEwen</v>
      </c>
      <c r="AJ10" s="409">
        <v>44477</v>
      </c>
      <c r="AK10" s="409" t="str">
        <v>Bermed in McMurdo - SPOTSA on UNL flatrack</v>
      </c>
      <c r="AL10" s="9" t="str">
        <v/>
      </c>
      <c r="AM10" s="9"/>
      <c r="AN10" s="9"/>
    </row>
    <row r="11" spans="1:40" s="9" customFormat="1" ht="44.1" hidden="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8">
        <v>43845</v>
      </c>
      <c r="Q11" s="429" t="str">
        <v>In McMurdo</v>
      </c>
      <c r="R11" s="428"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09">
        <v>44927</v>
      </c>
      <c r="AD11" s="409" t="str">
        <v>Yes</v>
      </c>
      <c r="AE11" s="409" t="str">
        <v>In McMurdo</v>
      </c>
      <c r="AF11" s="409" t="str">
        <v>FY23 intra</v>
      </c>
      <c r="AG11" s="409" t="str">
        <v>D. Gibson</v>
      </c>
      <c r="AH11" s="409">
        <v>44477</v>
      </c>
      <c r="AI11" s="409" t="str">
        <v>I. McEwen</v>
      </c>
      <c r="AJ11" s="409">
        <v>44477</v>
      </c>
      <c r="AK11" s="409" t="str">
        <v>Bermed in McMurdo - SPOTSA on UNL flatrack - overland shipment preferred due to complexities of air transport certification - can be laid on side once drained</v>
      </c>
      <c r="AL11" s="9" t="str">
        <v/>
      </c>
    </row>
    <row r="12" spans="1:40" s="9" customFormat="1" ht="51" hidden="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8">
        <v>43845</v>
      </c>
      <c r="Q12" s="429" t="str">
        <v>In McMurdo</v>
      </c>
      <c r="R12" s="428" t="str">
        <v/>
      </c>
      <c r="S12" s="431" t="str">
        <v/>
      </c>
      <c r="T12" s="431" t="str">
        <v>In McMurdo</v>
      </c>
      <c r="U12" s="431" t="str">
        <v>-</v>
      </c>
      <c r="V12" s="433" t="str">
        <v>-</v>
      </c>
      <c r="W12" s="433" t="str">
        <v>In McMurdo</v>
      </c>
      <c r="X12" s="433" t="str">
        <v>-</v>
      </c>
      <c r="Y12" s="88" t="str">
        <v>-</v>
      </c>
      <c r="Z12" s="434" t="str">
        <v>In McMurdo</v>
      </c>
      <c r="AA12" s="409" t="str">
        <v>-</v>
      </c>
      <c r="AB12" s="435" t="str">
        <v>SPoT</v>
      </c>
      <c r="AC12" s="409">
        <v>45292</v>
      </c>
      <c r="AD12" s="409" t="str">
        <v>Yes</v>
      </c>
      <c r="AE12" s="409" t="str">
        <v>In McMurdo</v>
      </c>
      <c r="AF12" s="409" t="str">
        <v>FY24 intra</v>
      </c>
      <c r="AG12" s="409" t="str">
        <v>D. Gibson</v>
      </c>
      <c r="AH12" s="409">
        <v>44477</v>
      </c>
      <c r="AI12" s="409" t="str">
        <v>I. McEwen</v>
      </c>
      <c r="AJ12" s="409">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s="9" customFormat="1" ht="51" hidden="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96" t="str">
        <v>Already at PTH</v>
      </c>
      <c r="P14" s="428">
        <v>44193</v>
      </c>
      <c r="Q14" s="94" t="str">
        <v>Already at PTH</v>
      </c>
      <c r="R14" s="428">
        <v>44211</v>
      </c>
      <c r="S14" s="430" t="str">
        <v>Truck</v>
      </c>
      <c r="T14" s="12" t="str">
        <v>PTH - MCM</v>
      </c>
      <c r="U14" s="431" t="str">
        <v>-</v>
      </c>
      <c r="V14" s="432" t="str">
        <v>USAP Vessel</v>
      </c>
      <c r="W14" s="433" t="str">
        <v>USAP Vessel</v>
      </c>
      <c r="X14" s="433" t="str">
        <v>-</v>
      </c>
      <c r="Y14" s="100" t="str">
        <v>-</v>
      </c>
      <c r="Z14" s="434">
        <v>44598</v>
      </c>
      <c r="AA14" s="427" t="str">
        <v>-</v>
      </c>
      <c r="AB14" s="435" t="str">
        <v>LC-130/SPoT</v>
      </c>
      <c r="AC14" s="409">
        <v>44910</v>
      </c>
      <c r="AD14" s="409" t="str">
        <v>No*</v>
      </c>
      <c r="AE14" s="409" t="str">
        <v>FY22 inter</v>
      </c>
      <c r="AF14" s="409" t="str">
        <v>FY23 intra</v>
      </c>
      <c r="AG14" s="409" t="str">
        <v>D. Gibson</v>
      </c>
      <c r="AH14" s="409">
        <v>44477</v>
      </c>
      <c r="AI14" s="409" t="str">
        <v>I. McEwen</v>
      </c>
      <c r="AJ14" s="409">
        <v>44477</v>
      </c>
      <c r="AK14" s="409" t="str">
        <v>*While this shipment is not on the critical path additional ASC crane support will be required to overcome delayed arrival or sleds furnished from the South Pole inventory</v>
      </c>
      <c r="AL14" s="9" t="str">
        <v/>
      </c>
    </row>
    <row r="15" spans="1:40" s="9" customFormat="1" ht="33.950000000000003" hidden="1">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35" t="str">
        <v>Already at PTH</v>
      </c>
      <c r="P15" s="428">
        <v>44112</v>
      </c>
      <c r="Q15" s="94" t="str">
        <v>Already at PTH</v>
      </c>
      <c r="R15" s="428">
        <v>44159</v>
      </c>
      <c r="S15" s="430" t="str">
        <v>Truck</v>
      </c>
      <c r="T15" s="12" t="str">
        <v>PTH - MCM</v>
      </c>
      <c r="U15" s="431" t="str">
        <v>-</v>
      </c>
      <c r="V15" s="432" t="str">
        <v>USAP Vessel</v>
      </c>
      <c r="W15" s="433" t="str">
        <v>USAP Vessel</v>
      </c>
      <c r="X15" s="433" t="str">
        <v>-</v>
      </c>
      <c r="Y15" s="100" t="str">
        <v>-</v>
      </c>
      <c r="Z15" s="434">
        <v>44963</v>
      </c>
      <c r="AA15" s="409" t="str">
        <v>-</v>
      </c>
      <c r="AB15" s="435" t="str">
        <v>LC-130/SPoT</v>
      </c>
      <c r="AC15" s="409">
        <v>45292</v>
      </c>
      <c r="AD15" s="409" t="str">
        <v>Yes</v>
      </c>
      <c r="AE15" s="409" t="str">
        <v>FY23 inter</v>
      </c>
      <c r="AF15" s="409" t="str">
        <v>FY24 intra</v>
      </c>
      <c r="AG15" s="409" t="str">
        <v>D. Gibson</v>
      </c>
      <c r="AH15" s="409">
        <v>44477</v>
      </c>
      <c r="AI15" s="409" t="str">
        <v>I. McEwen</v>
      </c>
      <c r="AJ15" s="409">
        <v>44477</v>
      </c>
      <c r="AK15" s="409" t="str">
        <v/>
      </c>
      <c r="AL15" s="9" t="str">
        <v/>
      </c>
    </row>
    <row r="16" spans="1:40" s="9" customFormat="1" ht="33.950000000000003" hidden="1">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35" t="str">
        <v>Already at PTH</v>
      </c>
      <c r="P16" s="428">
        <v>44112</v>
      </c>
      <c r="Q16" s="94" t="str">
        <v>Already at PTH</v>
      </c>
      <c r="R16" s="428">
        <v>44159</v>
      </c>
      <c r="S16" s="430" t="str">
        <v>Truck</v>
      </c>
      <c r="T16" s="12" t="str">
        <v>PTH - MCM</v>
      </c>
      <c r="U16" s="431" t="str">
        <v>-</v>
      </c>
      <c r="V16" s="432" t="str">
        <v>USAP Vessel</v>
      </c>
      <c r="W16" s="433" t="str">
        <v>USAP Vessel</v>
      </c>
      <c r="X16" s="433" t="str">
        <v>-</v>
      </c>
      <c r="Y16" s="100" t="str">
        <v>-</v>
      </c>
      <c r="Z16" s="434">
        <v>44963</v>
      </c>
      <c r="AA16" s="409" t="str">
        <v>-</v>
      </c>
      <c r="AB16" s="435" t="str">
        <v>LC-130/SPoT</v>
      </c>
      <c r="AC16" s="409">
        <v>45292</v>
      </c>
      <c r="AD16" s="409" t="str">
        <v>Yes</v>
      </c>
      <c r="AE16" s="409" t="str">
        <v>FY23 inter</v>
      </c>
      <c r="AF16" s="409" t="str">
        <v>FY24 intra</v>
      </c>
      <c r="AG16" s="409" t="str">
        <v>D. Gibson</v>
      </c>
      <c r="AH16" s="409">
        <v>44477</v>
      </c>
      <c r="AI16" s="409" t="str">
        <v>I. McEwen</v>
      </c>
      <c r="AJ16" s="409">
        <v>44477</v>
      </c>
      <c r="AK16" s="409" t="str">
        <v/>
      </c>
      <c r="AL16" s="9" t="str">
        <v/>
      </c>
    </row>
    <row r="17" spans="1:40" s="9" customFormat="1" ht="34.35" hidden="1"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35" t="str">
        <v>Already at PTH</v>
      </c>
      <c r="P17" s="428">
        <v>44041</v>
      </c>
      <c r="Q17" s="94" t="str">
        <v>Already at PTH</v>
      </c>
      <c r="R17" s="428">
        <v>44058</v>
      </c>
      <c r="S17" s="430" t="str">
        <v>Truck</v>
      </c>
      <c r="T17" s="12" t="str">
        <v>PTH - MCM</v>
      </c>
      <c r="U17" s="431" t="str">
        <v>-</v>
      </c>
      <c r="V17" s="432" t="str">
        <v>USAP Vessel</v>
      </c>
      <c r="W17" s="433" t="str">
        <v>USAP Vessel</v>
      </c>
      <c r="X17" s="433" t="str">
        <v>-</v>
      </c>
      <c r="Y17" s="100" t="str">
        <v>-</v>
      </c>
      <c r="Z17" s="434">
        <v>44963</v>
      </c>
      <c r="AA17" s="427" t="str">
        <v>-</v>
      </c>
      <c r="AB17" s="435" t="str">
        <v>LC-130/SPoT</v>
      </c>
      <c r="AC17" s="409">
        <v>45292</v>
      </c>
      <c r="AD17" s="409" t="str">
        <v>Yes</v>
      </c>
      <c r="AE17" s="409" t="str">
        <v>FY23 inter</v>
      </c>
      <c r="AF17" s="409" t="str">
        <v>FY24 intra</v>
      </c>
      <c r="AG17" s="409" t="str">
        <v>D. Gibson</v>
      </c>
      <c r="AH17" s="409">
        <v>44477</v>
      </c>
      <c r="AI17" s="409" t="str">
        <v>I. McEwen</v>
      </c>
      <c r="AJ17" s="409">
        <v>44477</v>
      </c>
      <c r="AK17" s="409" t="str">
        <v>Hose to be installed on Main Supply Hose Reel upon arrival at Pole</v>
      </c>
      <c r="AL17" s="9" t="str">
        <v/>
      </c>
    </row>
    <row r="18" spans="1:40" s="9" customFormat="1" ht="34.35" hidden="1"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35" t="str">
        <v>Already at PTH</v>
      </c>
      <c r="P18" s="428">
        <v>44154</v>
      </c>
      <c r="Q18" s="94" t="str">
        <v>Already at PTH</v>
      </c>
      <c r="R18" s="428">
        <v>44211</v>
      </c>
      <c r="S18" s="430" t="str">
        <v>Truck</v>
      </c>
      <c r="T18" s="12" t="str">
        <v>PTH - MCM</v>
      </c>
      <c r="U18" s="431" t="str">
        <v>-</v>
      </c>
      <c r="V18" s="432" t="str">
        <v>USAP Vessel</v>
      </c>
      <c r="W18" s="433" t="str">
        <v>USAP Vessel</v>
      </c>
      <c r="X18" s="433" t="str">
        <v>-</v>
      </c>
      <c r="Y18" s="100" t="str">
        <v>-</v>
      </c>
      <c r="Z18" s="434">
        <v>44963</v>
      </c>
      <c r="AA18" s="427" t="str">
        <v>-</v>
      </c>
      <c r="AB18" s="435" t="str">
        <v>LC-130/SPoT</v>
      </c>
      <c r="AC18" s="409">
        <v>45292</v>
      </c>
      <c r="AD18" s="409" t="str">
        <v>Yes</v>
      </c>
      <c r="AE18" s="409" t="str">
        <v>FY23 inter</v>
      </c>
      <c r="AF18" s="409" t="str">
        <v>FY24 intra</v>
      </c>
      <c r="AG18" s="409" t="str">
        <v>D. Gibson</v>
      </c>
      <c r="AH18" s="409">
        <v>44477</v>
      </c>
      <c r="AI18" s="409" t="str">
        <v>I. McEwen</v>
      </c>
      <c r="AJ18" s="409">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57" t="str">
        <v/>
      </c>
      <c r="F19" s="57" t="str">
        <v/>
      </c>
      <c r="G19" s="44" t="str">
        <v>TEU=&gt;</v>
      </c>
      <c r="H19" s="135">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s="9" customFormat="1" ht="39.75" hidden="1" customHeight="1" thickTop="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26">
        <v>12</v>
      </c>
      <c r="P20" s="443">
        <v>44503</v>
      </c>
      <c r="Q20" s="429" t="str">
        <v>UWM - PTH</v>
      </c>
      <c r="R20" s="428">
        <v>44515</v>
      </c>
      <c r="S20" s="430" t="str">
        <v xml:space="preserve"> Truck</v>
      </c>
      <c r="T20" s="440" t="str">
        <v>PTH - MCM</v>
      </c>
      <c r="U20" s="47" t="str">
        <v>-</v>
      </c>
      <c r="V20" s="432" t="str">
        <v>USAP Vessel</v>
      </c>
      <c r="W20" s="433" t="str">
        <v>USAP Vessel</v>
      </c>
      <c r="X20" s="433" t="str">
        <v>-</v>
      </c>
      <c r="Y20" s="100" t="str">
        <v>-</v>
      </c>
      <c r="Z20" s="434">
        <v>44598</v>
      </c>
      <c r="AA20" s="409" t="str">
        <v>-</v>
      </c>
      <c r="AB20" s="435" t="str">
        <v>LC-130</v>
      </c>
      <c r="AC20" s="409">
        <v>44880</v>
      </c>
      <c r="AD20" s="409" t="str">
        <v>Yes</v>
      </c>
      <c r="AE20" s="409" t="str">
        <v>FY22 inter</v>
      </c>
      <c r="AF20" s="409" t="str">
        <v>FY23 intra</v>
      </c>
      <c r="AG20" s="409" t="str">
        <v>D. Gibson</v>
      </c>
      <c r="AH20" s="409">
        <v>44477</v>
      </c>
      <c r="AI20" s="409" t="str">
        <v>I. McEwen</v>
      </c>
      <c r="AJ20" s="409">
        <v>44477</v>
      </c>
      <c r="AK20" s="61" t="str">
        <v xml:space="preserve">8' container moves with contents by LC130 or is broken down for movement by Basler. Packing in progress. </v>
      </c>
      <c r="AL20" s="9" t="str">
        <v/>
      </c>
    </row>
    <row r="21" spans="1:40" s="9" customFormat="1" ht="47.25" hidden="1"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26">
        <v>2</v>
      </c>
      <c r="P21" s="443">
        <v>44513</v>
      </c>
      <c r="Q21" s="429" t="str">
        <v>UWM - PTH</v>
      </c>
      <c r="R21" s="428">
        <v>44515</v>
      </c>
      <c r="S21" s="430" t="str">
        <v xml:space="preserve"> Truck</v>
      </c>
      <c r="T21" s="440" t="str">
        <v>PTH - MCM</v>
      </c>
      <c r="U21" s="47" t="str">
        <v>-</v>
      </c>
      <c r="V21" s="432" t="str">
        <v>USAP Vessel</v>
      </c>
      <c r="W21" s="433" t="str">
        <v>USAP Vessel</v>
      </c>
      <c r="X21" s="433" t="str">
        <v>-</v>
      </c>
      <c r="Y21" s="100" t="str">
        <v>-</v>
      </c>
      <c r="Z21" s="434">
        <v>44598</v>
      </c>
      <c r="AA21" s="409" t="str">
        <v>-</v>
      </c>
      <c r="AB21" s="435" t="str">
        <v>LC-130/SPoT</v>
      </c>
      <c r="AC21" s="409">
        <v>44896</v>
      </c>
      <c r="AD21" s="409" t="str">
        <v>Yes</v>
      </c>
      <c r="AE21" s="409" t="str">
        <v>FY22 inter</v>
      </c>
      <c r="AF21" s="409" t="str">
        <v>FY23 intra</v>
      </c>
      <c r="AG21" s="409" t="str">
        <v>D. Gibson</v>
      </c>
      <c r="AH21" s="409">
        <v>44477</v>
      </c>
      <c r="AI21" s="409" t="str">
        <v>I. McEwen</v>
      </c>
      <c r="AJ21" s="409">
        <v>44477</v>
      </c>
      <c r="AK21" s="409" t="str">
        <v xml:space="preserve">For air shipment container contents will need to be unloaded and palletized. Container procurement delayed by shortage. Packing in progress. </v>
      </c>
      <c r="AL21" s="9" t="str">
        <v/>
      </c>
    </row>
    <row r="22" spans="1:40" s="9" customFormat="1" ht="51" hidden="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26" t="str">
        <v>in transit</v>
      </c>
      <c r="P22" s="443">
        <v>44502</v>
      </c>
      <c r="Q22" s="429" t="str">
        <v>UWM - PTH</v>
      </c>
      <c r="R22" s="428">
        <v>44515</v>
      </c>
      <c r="S22" s="430" t="str">
        <v>Truck</v>
      </c>
      <c r="T22" s="431" t="str">
        <v>PTH - MCM</v>
      </c>
      <c r="U22" s="47" t="str">
        <v>-</v>
      </c>
      <c r="V22" s="432" t="str">
        <v>USAP Vessel</v>
      </c>
      <c r="W22" s="433" t="str">
        <v>USAP Vessel</v>
      </c>
      <c r="X22" s="433" t="str">
        <v>-</v>
      </c>
      <c r="Y22" s="100" t="str">
        <v>-</v>
      </c>
      <c r="Z22" s="434">
        <v>44598</v>
      </c>
      <c r="AA22" s="409" t="str">
        <v>-</v>
      </c>
      <c r="AB22" s="435" t="str">
        <v>LC-130/SPoT</v>
      </c>
      <c r="AC22" s="409">
        <v>44910</v>
      </c>
      <c r="AD22" s="409" t="str">
        <v>Yes</v>
      </c>
      <c r="AE22" s="409" t="str">
        <v>FY22 inter</v>
      </c>
      <c r="AF22" s="409" t="str">
        <v>FY23 intra</v>
      </c>
      <c r="AG22" s="409" t="str">
        <v>D. Gibson</v>
      </c>
      <c r="AH22" s="409">
        <v>44477</v>
      </c>
      <c r="AI22" s="409" t="str">
        <v>I. McEwen</v>
      </c>
      <c r="AJ22" s="409">
        <v>44477</v>
      </c>
      <c r="AK22" s="409" t="str">
        <v>For air shipment container contents will need to be unloaded and palletized</v>
      </c>
      <c r="AL22" s="9" t="str">
        <v/>
      </c>
    </row>
    <row r="23" spans="1:40" s="9" customFormat="1" ht="79.5" hidden="1"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96" t="str">
        <v>in transit</v>
      </c>
      <c r="P23" s="443">
        <v>44502</v>
      </c>
      <c r="Q23" s="429" t="str">
        <v>UWM - PTH</v>
      </c>
      <c r="R23" s="428">
        <v>44515</v>
      </c>
      <c r="S23" s="430" t="str">
        <v xml:space="preserve"> Truck</v>
      </c>
      <c r="T23" s="440" t="str">
        <v>PTH - MCM</v>
      </c>
      <c r="U23" s="431" t="str">
        <v>-</v>
      </c>
      <c r="V23" s="432" t="str">
        <v>USAP Vessel</v>
      </c>
      <c r="W23" s="433" t="str">
        <v>USAP Vessel</v>
      </c>
      <c r="X23" s="433" t="str">
        <v>-</v>
      </c>
      <c r="Y23" s="100" t="str">
        <v>-</v>
      </c>
      <c r="Z23" s="434">
        <v>44598</v>
      </c>
      <c r="AA23" s="409" t="str">
        <v>-</v>
      </c>
      <c r="AB23" s="435" t="str">
        <v>LC-130/SPoT</v>
      </c>
      <c r="AC23" s="409">
        <v>44910</v>
      </c>
      <c r="AD23" s="409" t="str">
        <v>Yes*</v>
      </c>
      <c r="AE23" s="409" t="str">
        <v>FY22 inter</v>
      </c>
      <c r="AF23" s="409" t="str">
        <v>FY23 intra</v>
      </c>
      <c r="AG23" s="409" t="str">
        <v>D. Gibson</v>
      </c>
      <c r="AH23" s="409">
        <v>44477</v>
      </c>
      <c r="AI23" s="409" t="str">
        <v>I. McEwen</v>
      </c>
      <c r="AJ23" s="409">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s="9" customFormat="1" ht="36.75" hidden="1"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26" t="str">
        <v>in transit</v>
      </c>
      <c r="P24" s="443">
        <v>44495</v>
      </c>
      <c r="Q24" s="429" t="str">
        <v>UWM - PTH</v>
      </c>
      <c r="R24" s="428">
        <v>44515</v>
      </c>
      <c r="S24" s="430" t="str">
        <v xml:space="preserve"> Truck</v>
      </c>
      <c r="T24" s="440" t="str">
        <v>PTH - MCM</v>
      </c>
      <c r="U24" s="47" t="str">
        <v>-</v>
      </c>
      <c r="V24" s="432" t="str">
        <v>USAP Vessel</v>
      </c>
      <c r="W24" s="433" t="str">
        <v>USAP Vessel</v>
      </c>
      <c r="X24" s="433" t="str">
        <v>-</v>
      </c>
      <c r="Y24" s="100" t="str">
        <v>-</v>
      </c>
      <c r="Z24" s="434">
        <v>44598</v>
      </c>
      <c r="AA24" s="409" t="str">
        <v>-</v>
      </c>
      <c r="AB24" s="435" t="str">
        <v>LC-130/SPoT</v>
      </c>
      <c r="AC24" s="409">
        <v>44927</v>
      </c>
      <c r="AD24" s="409" t="str">
        <v>Yes</v>
      </c>
      <c r="AE24" s="409" t="str">
        <v>FY22 inter</v>
      </c>
      <c r="AF24" s="409" t="str">
        <v>FY23 intra</v>
      </c>
      <c r="AG24" s="409" t="str">
        <v>D. Gibson</v>
      </c>
      <c r="AH24" s="409">
        <v>44477</v>
      </c>
      <c r="AI24" s="409" t="str">
        <v>I. McEwen</v>
      </c>
      <c r="AJ24" s="409">
        <v>44477</v>
      </c>
      <c r="AK24" s="61" t="str">
        <v>Weight from Gen 1 shipment information see picture.</v>
      </c>
      <c r="AL24" s="9" t="str">
        <v/>
      </c>
    </row>
    <row r="25" spans="1:40" s="9" customFormat="1" ht="27.75" hidden="1"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26">
        <v>7</v>
      </c>
      <c r="P25" s="443">
        <v>44508</v>
      </c>
      <c r="Q25" s="429" t="str">
        <v>UWM - PTH</v>
      </c>
      <c r="R25" s="428">
        <v>44515</v>
      </c>
      <c r="S25" s="430" t="str">
        <v xml:space="preserve"> Truck</v>
      </c>
      <c r="T25" s="440" t="str">
        <v>PTH - MCM</v>
      </c>
      <c r="U25" s="47" t="str">
        <v>-</v>
      </c>
      <c r="V25" s="432" t="str">
        <v>USAP Vessel</v>
      </c>
      <c r="W25" s="433" t="str">
        <v>USAP Vessel</v>
      </c>
      <c r="X25" s="433" t="str">
        <v>-</v>
      </c>
      <c r="Y25" s="100" t="str">
        <v>-</v>
      </c>
      <c r="Z25" s="434">
        <v>44598</v>
      </c>
      <c r="AA25" s="409" t="str">
        <v>-</v>
      </c>
      <c r="AB25" s="435" t="str">
        <v>LC-130/SPoT</v>
      </c>
      <c r="AC25" s="409">
        <v>44927</v>
      </c>
      <c r="AD25" s="409" t="str">
        <v>Yes</v>
      </c>
      <c r="AE25" s="409" t="str">
        <v>FY22 inter</v>
      </c>
      <c r="AF25" s="409" t="str">
        <v>FY23 intra</v>
      </c>
      <c r="AG25" s="409" t="str">
        <v>D. Gibson</v>
      </c>
      <c r="AH25" s="409">
        <v>44477</v>
      </c>
      <c r="AI25" s="409" t="str">
        <v>I. McEwen</v>
      </c>
      <c r="AJ25" s="409">
        <v>44477</v>
      </c>
      <c r="AK25" s="61" t="str">
        <v xml:space="preserve">Required onsite in FS Y1 for final integration and pre-drill activities. Shrink wrap contractor rescheduled for later date. </v>
      </c>
      <c r="AL25" s="9" t="str">
        <v/>
      </c>
    </row>
    <row r="26" spans="1:40" s="13" customFormat="1" ht="68.099999999999994" hidden="1">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26">
        <v>381</v>
      </c>
      <c r="P26" s="443">
        <v>44301</v>
      </c>
      <c r="Q26" s="429" t="str">
        <v>UWM - PTH</v>
      </c>
      <c r="R26" s="428">
        <v>44682</v>
      </c>
      <c r="S26" s="430" t="str">
        <v>Truck</v>
      </c>
      <c r="T26" s="431" t="str">
        <v>PTH - CHC</v>
      </c>
      <c r="U26" s="431" t="str">
        <v>-</v>
      </c>
      <c r="V26" s="432" t="str">
        <v>ComSur</v>
      </c>
      <c r="W26" s="433" t="str">
        <v>CHC-MCM</v>
      </c>
      <c r="X26" s="433" t="str">
        <v>-</v>
      </c>
      <c r="Y26" s="426" t="str">
        <v>USAP Air</v>
      </c>
      <c r="Z26" s="434">
        <v>44866</v>
      </c>
      <c r="AA26" s="434" t="str">
        <v>-</v>
      </c>
      <c r="AB26" s="426" t="str">
        <v>LC-130</v>
      </c>
      <c r="AC26" s="444">
        <v>44896</v>
      </c>
      <c r="AD26" s="409" t="str">
        <v>Yes</v>
      </c>
      <c r="AE26" s="409" t="str">
        <v>FY23 inter</v>
      </c>
      <c r="AF26" s="409" t="str">
        <v>FY23 intra</v>
      </c>
      <c r="AG26" s="409" t="str">
        <v>D. Gibson</v>
      </c>
      <c r="AH26" s="409">
        <v>44477</v>
      </c>
      <c r="AI26" s="409" t="str">
        <v>I. McEwen</v>
      </c>
      <c r="AJ26" s="444">
        <v>44477</v>
      </c>
      <c r="AK26" s="65" t="str">
        <v>Weight estimated</v>
      </c>
      <c r="AL26" s="13" t="str">
        <v/>
      </c>
    </row>
    <row r="27" spans="1:40" s="9" customFormat="1" ht="33.950000000000003" hidden="1">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35">
        <v>31</v>
      </c>
      <c r="P27" s="98">
        <v>45108</v>
      </c>
      <c r="Q27" s="429" t="str">
        <v>UWM - PTH</v>
      </c>
      <c r="R27" s="428">
        <v>45139</v>
      </c>
      <c r="S27" s="430" t="str">
        <v>Truck</v>
      </c>
      <c r="T27" s="431" t="str">
        <v>PTH - CHC</v>
      </c>
      <c r="U27" s="431" t="str">
        <v>-</v>
      </c>
      <c r="V27" s="432" t="str">
        <v>ComSur</v>
      </c>
      <c r="W27" s="433" t="str">
        <v>CHC-MCM</v>
      </c>
      <c r="X27" s="433" t="str">
        <v>-</v>
      </c>
      <c r="Y27" s="435" t="str">
        <v>USAP Air</v>
      </c>
      <c r="Z27" s="434">
        <v>45231</v>
      </c>
      <c r="AA27" s="409" t="str">
        <v>-</v>
      </c>
      <c r="AB27" s="435" t="str">
        <v>LC-130</v>
      </c>
      <c r="AC27" s="409">
        <v>45261</v>
      </c>
      <c r="AD27" s="409" t="str">
        <v>Yes</v>
      </c>
      <c r="AE27" s="409" t="str">
        <v>FY24 inter</v>
      </c>
      <c r="AF27" s="409" t="str">
        <v>FY24 intra</v>
      </c>
      <c r="AG27" s="409" t="str">
        <v>J. Kelley</v>
      </c>
      <c r="AH27" s="409">
        <v>44481</v>
      </c>
      <c r="AI27" s="409" t="str">
        <v>D. Tosi</v>
      </c>
      <c r="AJ27" s="409">
        <v>44481</v>
      </c>
      <c r="AK27" s="409" t="str">
        <v/>
      </c>
      <c r="AL27" s="9" t="str">
        <v/>
      </c>
    </row>
    <row r="28" spans="1:40" s="9" customFormat="1" ht="33.75" hidden="1" customHeight="1">
      <c r="A28" s="35">
        <v>1.4</v>
      </c>
      <c r="B28" s="51" t="str">
        <v>Installation</v>
      </c>
      <c r="C28" s="21" t="str">
        <v>ICL patch cables and patch panels</v>
      </c>
      <c r="D28" s="3"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35">
        <v>61</v>
      </c>
      <c r="P28" s="98">
        <v>45078</v>
      </c>
      <c r="Q28" s="429" t="str">
        <v>UWM - PTH</v>
      </c>
      <c r="R28" s="428">
        <v>45139</v>
      </c>
      <c r="S28" s="430" t="str">
        <v>Truck</v>
      </c>
      <c r="T28" s="431" t="str">
        <v>PTH - CHC</v>
      </c>
      <c r="U28" s="431" t="str">
        <v>-</v>
      </c>
      <c r="V28" s="432" t="str">
        <v>ComSur</v>
      </c>
      <c r="W28" s="433" t="str">
        <v>CHC-MCM</v>
      </c>
      <c r="X28" s="433" t="str">
        <v>-</v>
      </c>
      <c r="Y28" s="435" t="str">
        <v>USAP Air</v>
      </c>
      <c r="Z28" s="434">
        <v>45231</v>
      </c>
      <c r="AA28" s="427" t="str">
        <v>-</v>
      </c>
      <c r="AB28" s="435" t="str">
        <v>LC-130</v>
      </c>
      <c r="AC28" s="409">
        <v>45261</v>
      </c>
      <c r="AD28" s="409" t="str">
        <v>Yes</v>
      </c>
      <c r="AE28" s="409" t="str">
        <v>FY24 inter</v>
      </c>
      <c r="AF28" s="409" t="str">
        <v>FY24 intra</v>
      </c>
      <c r="AG28" s="409" t="str">
        <v>J. Kelley</v>
      </c>
      <c r="AH28" s="409">
        <v>44481</v>
      </c>
      <c r="AI28" s="409" t="str">
        <v>D. Tosi</v>
      </c>
      <c r="AJ28" s="409">
        <v>44481</v>
      </c>
      <c r="AK28" s="409" t="str">
        <v xml:space="preserve">(*) storage in McMurdo pending low temperature test </v>
      </c>
      <c r="AL28" s="9" t="str">
        <v/>
      </c>
    </row>
    <row r="29" spans="1:40" s="27" customFormat="1" ht="33.950000000000003" hidden="1">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78">
        <v>381</v>
      </c>
      <c r="P29" s="98">
        <v>44301</v>
      </c>
      <c r="Q29" s="95" t="str">
        <v>UWM - PTH</v>
      </c>
      <c r="R29" s="99">
        <v>44682</v>
      </c>
      <c r="S29" s="430" t="str">
        <v xml:space="preserve"> Truck</v>
      </c>
      <c r="T29" s="97" t="str">
        <v>PTH - CHC</v>
      </c>
      <c r="U29" s="431" t="str">
        <v>-</v>
      </c>
      <c r="V29" s="432" t="str">
        <v>ComSur</v>
      </c>
      <c r="W29" s="79" t="str">
        <v>CHC-MCM</v>
      </c>
      <c r="X29" s="433" t="str">
        <v>-</v>
      </c>
      <c r="Y29" s="426" t="str">
        <v>USAP Air</v>
      </c>
      <c r="Z29" s="10">
        <v>44866</v>
      </c>
      <c r="AA29" s="10" t="str">
        <v>-</v>
      </c>
      <c r="AB29" s="78" t="str">
        <v xml:space="preserve">LC-130 </v>
      </c>
      <c r="AC29" s="26">
        <v>44896</v>
      </c>
      <c r="AD29" s="409" t="str">
        <v>Yes</v>
      </c>
      <c r="AE29" s="409" t="str">
        <v>FY23 inter</v>
      </c>
      <c r="AF29" s="409" t="str">
        <v>FY23 intra</v>
      </c>
      <c r="AG29" s="409" t="str">
        <v>D. Gibson</v>
      </c>
      <c r="AH29" s="409">
        <v>44477</v>
      </c>
      <c r="AI29" s="409" t="str">
        <v>I. McEwen</v>
      </c>
      <c r="AJ29" s="66">
        <v>44477</v>
      </c>
      <c r="AK29" s="66" t="str">
        <v/>
      </c>
      <c r="AL29" s="27" t="str">
        <v/>
      </c>
    </row>
    <row r="30" spans="1:40" s="27" customFormat="1" ht="33.950000000000003" hidden="1">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78">
        <v>381</v>
      </c>
      <c r="P30" s="98">
        <v>44301</v>
      </c>
      <c r="Q30" s="95" t="str">
        <v>UWM - PTH</v>
      </c>
      <c r="R30" s="99">
        <v>44682</v>
      </c>
      <c r="S30" s="430" t="str">
        <v xml:space="preserve"> Truck</v>
      </c>
      <c r="T30" s="97" t="str">
        <v>PTH - CHC</v>
      </c>
      <c r="U30" s="431" t="str">
        <v>-</v>
      </c>
      <c r="V30" s="432" t="str">
        <v>ComSur</v>
      </c>
      <c r="W30" s="79" t="str">
        <v>CHC-MCM</v>
      </c>
      <c r="X30" s="433" t="str">
        <v>-</v>
      </c>
      <c r="Y30" s="426" t="str">
        <v>USAP Air</v>
      </c>
      <c r="Z30" s="10">
        <v>44866</v>
      </c>
      <c r="AA30" s="26" t="str">
        <v>-</v>
      </c>
      <c r="AB30" s="78" t="str">
        <v>LC-130/SPoT</v>
      </c>
      <c r="AC30" s="26">
        <v>44896</v>
      </c>
      <c r="AD30" s="409" t="str">
        <v>Yes</v>
      </c>
      <c r="AE30" s="409" t="str">
        <v>FY23 inter</v>
      </c>
      <c r="AF30" s="409" t="str">
        <v>FY23 intra</v>
      </c>
      <c r="AG30" s="409" t="str">
        <v>D. Gibson</v>
      </c>
      <c r="AH30" s="409">
        <v>44477</v>
      </c>
      <c r="AI30" s="409" t="str">
        <v>I. McEwen</v>
      </c>
      <c r="AJ30" s="66">
        <v>44477</v>
      </c>
      <c r="AK30" s="66" t="str">
        <v/>
      </c>
      <c r="AL30" s="27" t="str">
        <v/>
      </c>
    </row>
    <row r="31" spans="1:40" s="9" customFormat="1" ht="41.1" hidden="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35">
        <v>157</v>
      </c>
      <c r="P31" s="428">
        <v>44358</v>
      </c>
      <c r="Q31" s="95" t="str">
        <v>UWM - PTH</v>
      </c>
      <c r="R31" s="428">
        <v>44515</v>
      </c>
      <c r="S31" s="430" t="str">
        <v>Truck</v>
      </c>
      <c r="T31" s="12" t="str">
        <v>PTH - MCM</v>
      </c>
      <c r="U31" s="431" t="str">
        <v>-</v>
      </c>
      <c r="V31" s="39" t="str">
        <v>USAP Vessel</v>
      </c>
      <c r="W31" s="433" t="str">
        <v>USAP Vessel</v>
      </c>
      <c r="X31" s="433" t="str">
        <v>-</v>
      </c>
      <c r="Y31" s="100" t="str">
        <v>-</v>
      </c>
      <c r="Z31" s="434">
        <v>44598</v>
      </c>
      <c r="AA31" s="409" t="str">
        <v>-</v>
      </c>
      <c r="AB31" s="435" t="str">
        <v>LC-130/SPoT</v>
      </c>
      <c r="AC31" s="409">
        <v>45261</v>
      </c>
      <c r="AD31" s="409" t="str">
        <v>Yes</v>
      </c>
      <c r="AE31" s="409" t="str">
        <v>FY22 inter</v>
      </c>
      <c r="AF31" s="409" t="str">
        <v>FY24 intra</v>
      </c>
      <c r="AG31" s="409" t="str">
        <v>D. Gibson</v>
      </c>
      <c r="AH31" s="409">
        <v>44477</v>
      </c>
      <c r="AI31" s="409" t="str">
        <v>I. McEwen</v>
      </c>
      <c r="AJ31" s="409">
        <v>44477</v>
      </c>
      <c r="AK31" s="409" t="str">
        <v/>
      </c>
      <c r="AL31" s="9" t="str">
        <v/>
      </c>
    </row>
    <row r="32" spans="1:40" s="9" customFormat="1" ht="33.950000000000003" hidden="1">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35">
        <v>349</v>
      </c>
      <c r="P32" s="443">
        <v>44531</v>
      </c>
      <c r="Q32" s="429" t="str">
        <v>UWM - PTH</v>
      </c>
      <c r="R32" s="428">
        <v>44880</v>
      </c>
      <c r="S32" s="430" t="str">
        <v>Truck</v>
      </c>
      <c r="T32" s="431" t="str">
        <v>PTH - MCM</v>
      </c>
      <c r="U32" s="431" t="str">
        <v>-</v>
      </c>
      <c r="V32" s="432" t="str">
        <v>USAP Vessel</v>
      </c>
      <c r="W32" s="433" t="str">
        <v>USAP Vessel</v>
      </c>
      <c r="X32" s="433" t="str">
        <v>-</v>
      </c>
      <c r="Y32" s="435" t="str">
        <v>-</v>
      </c>
      <c r="Z32" s="434">
        <v>44963</v>
      </c>
      <c r="AA32" s="409" t="str">
        <v>-</v>
      </c>
      <c r="AB32" s="435" t="str">
        <v>LC-130/SPoT</v>
      </c>
      <c r="AC32" s="409">
        <v>45323</v>
      </c>
      <c r="AD32" s="409" t="str">
        <v>No</v>
      </c>
      <c r="AE32" s="409" t="str">
        <v>FY23 inter</v>
      </c>
      <c r="AF32" s="409" t="str">
        <v>FY24 intra</v>
      </c>
      <c r="AG32" s="409" t="str">
        <v>D. Gibson</v>
      </c>
      <c r="AH32" s="409">
        <v>44477</v>
      </c>
      <c r="AI32" s="409" t="str">
        <v>I. McEwen</v>
      </c>
      <c r="AJ32" s="409">
        <v>44477</v>
      </c>
      <c r="AK32" s="409" t="str">
        <v>Weight and cube used from Gen 1 shipping label still on bull wheel.</v>
      </c>
      <c r="AL32" s="9" t="str">
        <v/>
      </c>
    </row>
    <row r="33" spans="1:38" s="9" customFormat="1" ht="33.950000000000003" hidden="1">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35">
        <v>31</v>
      </c>
      <c r="P33" s="443">
        <v>44849</v>
      </c>
      <c r="Q33" s="429" t="str">
        <v>UWM - PTH</v>
      </c>
      <c r="R33" s="428">
        <v>44880</v>
      </c>
      <c r="S33" s="430" t="str">
        <v>Truck</v>
      </c>
      <c r="T33" s="431" t="str">
        <v>PTH - MCM</v>
      </c>
      <c r="U33" s="431" t="str">
        <v>-</v>
      </c>
      <c r="V33" s="432" t="str">
        <v>USAP Vessel</v>
      </c>
      <c r="W33" s="433" t="str">
        <v>USAP Vessel</v>
      </c>
      <c r="X33" s="433" t="str">
        <v>-</v>
      </c>
      <c r="Y33" s="435" t="str">
        <v>-</v>
      </c>
      <c r="Z33" s="434">
        <v>44963</v>
      </c>
      <c r="AA33" s="409" t="str">
        <v>-</v>
      </c>
      <c r="AB33" s="435" t="str">
        <v>LC-130/SPoT</v>
      </c>
      <c r="AC33" s="409">
        <v>45275</v>
      </c>
      <c r="AD33" s="409" t="str">
        <v>Yes</v>
      </c>
      <c r="AE33" s="409" t="str">
        <v>FY23 inter</v>
      </c>
      <c r="AF33" s="409" t="str">
        <v>FY24 intra</v>
      </c>
      <c r="AG33" s="409" t="str">
        <v>D. Gibson</v>
      </c>
      <c r="AH33" s="409">
        <v>44477</v>
      </c>
      <c r="AI33" s="409" t="str">
        <v>I. McEwen</v>
      </c>
      <c r="AJ33" s="409">
        <v>44477</v>
      </c>
      <c r="AK33" s="409" t="str">
        <v>Required onsite in FW YR 2 for integration - recent addition, still in development</v>
      </c>
      <c r="AL33" s="9" t="str">
        <v/>
      </c>
    </row>
    <row r="34" spans="1:38" s="9" customFormat="1" ht="61.5" hidden="1"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35">
        <v>117</v>
      </c>
      <c r="P34" s="443">
        <v>44763</v>
      </c>
      <c r="Q34" s="429" t="str">
        <v>UWM - PTH</v>
      </c>
      <c r="R34" s="428">
        <v>44880</v>
      </c>
      <c r="S34" s="431" t="str">
        <v>Truck</v>
      </c>
      <c r="T34" s="431" t="str">
        <v>PTH - MCM</v>
      </c>
      <c r="U34" s="431" t="str">
        <v>-</v>
      </c>
      <c r="V34" s="433" t="str">
        <v>USAP Vessel</v>
      </c>
      <c r="W34" s="433" t="str">
        <v>USAP Vessel</v>
      </c>
      <c r="X34" s="433" t="str">
        <v>-</v>
      </c>
      <c r="Y34" s="426" t="str">
        <v>-</v>
      </c>
      <c r="Z34" s="434">
        <v>44963</v>
      </c>
      <c r="AA34" s="409" t="str">
        <v>-</v>
      </c>
      <c r="AB34" s="435" t="str">
        <v>LC-130/SPoT</v>
      </c>
      <c r="AC34" s="409">
        <v>45261</v>
      </c>
      <c r="AD34" s="409" t="str">
        <v>Yes</v>
      </c>
      <c r="AE34" s="409" t="str">
        <v>FY23 inter</v>
      </c>
      <c r="AF34" s="409" t="str">
        <v>FY24 intra</v>
      </c>
      <c r="AG34" s="409" t="str">
        <v>D. Gibson</v>
      </c>
      <c r="AH34" s="409">
        <v>44477</v>
      </c>
      <c r="AI34" s="409" t="str">
        <v>I. McEwen</v>
      </c>
      <c r="AJ34" s="409">
        <v>44477</v>
      </c>
      <c r="AK34" s="61" t="str">
        <v>Sensor Handling Facility construction scheduled to begin mid-December FY24</v>
      </c>
      <c r="AL34" s="9" t="str">
        <v/>
      </c>
    </row>
    <row r="35" spans="1:38" s="9" customFormat="1" ht="23.25" hidden="1" customHeight="1">
      <c r="A35" s="25">
        <v>1.2</v>
      </c>
      <c r="B35" s="48" t="str">
        <v>Drill</v>
      </c>
      <c r="C35" s="1" t="str">
        <v xml:space="preserve">Spare Combo cable </v>
      </c>
      <c r="D35" s="3"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35">
        <v>31</v>
      </c>
      <c r="P35" s="428">
        <v>44849</v>
      </c>
      <c r="Q35" s="429" t="str">
        <v>UWM - PTH</v>
      </c>
      <c r="R35" s="428">
        <v>44880</v>
      </c>
      <c r="S35" s="431" t="str">
        <v>Truck</v>
      </c>
      <c r="T35" s="431" t="str">
        <v>PTH - MCM</v>
      </c>
      <c r="U35" s="431" t="str">
        <v>-</v>
      </c>
      <c r="V35" s="433" t="str">
        <v>USAP Vessel</v>
      </c>
      <c r="W35" s="433" t="str">
        <v>USAP Vessel</v>
      </c>
      <c r="X35" s="433" t="str">
        <v>-</v>
      </c>
      <c r="Y35" s="426" t="str">
        <v>-</v>
      </c>
      <c r="Z35" s="434">
        <v>45328</v>
      </c>
      <c r="AA35" s="409" t="str">
        <v>-</v>
      </c>
      <c r="AB35" s="435" t="str">
        <v>LC-130/SPoT</v>
      </c>
      <c r="AC35" s="409">
        <v>45334</v>
      </c>
      <c r="AD35" s="409" t="str">
        <v>No</v>
      </c>
      <c r="AE35" s="409" t="str">
        <v>FY24 inter</v>
      </c>
      <c r="AF35" s="409" t="str">
        <v>FY24 intra</v>
      </c>
      <c r="AG35" s="409" t="str">
        <v>D. Gibson</v>
      </c>
      <c r="AH35" s="409">
        <v>44477</v>
      </c>
      <c r="AI35" s="409" t="str">
        <v>I. McEwen</v>
      </c>
      <c r="AJ35" s="409">
        <v>44477</v>
      </c>
      <c r="AK35" s="409" t="str">
        <v>Spare required for drill season</v>
      </c>
      <c r="AL35" s="9" t="str">
        <v/>
      </c>
    </row>
    <row r="36" spans="1:38" s="9" customFormat="1" ht="26.45" hidden="1" customHeight="1">
      <c r="A36" s="25">
        <v>1.2</v>
      </c>
      <c r="B36" s="49" t="str">
        <v>Drill</v>
      </c>
      <c r="C36" s="3" t="str">
        <v>Spare Drill Cable</v>
      </c>
      <c r="D36" s="3"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35">
        <v>31</v>
      </c>
      <c r="P36" s="428">
        <v>44849</v>
      </c>
      <c r="Q36" s="429" t="str">
        <v>UWM - PTH</v>
      </c>
      <c r="R36" s="428">
        <v>44880</v>
      </c>
      <c r="S36" s="431" t="str">
        <v>Truck</v>
      </c>
      <c r="T36" s="431" t="str">
        <v>PTH - MCM</v>
      </c>
      <c r="U36" s="431" t="str">
        <v>-</v>
      </c>
      <c r="V36" s="433" t="str">
        <v>USAP Vessel</v>
      </c>
      <c r="W36" s="433" t="str">
        <v>USAP Vessel</v>
      </c>
      <c r="X36" s="433" t="str">
        <v>-</v>
      </c>
      <c r="Y36" s="426" t="str">
        <v>-</v>
      </c>
      <c r="Z36" s="434">
        <v>45328</v>
      </c>
      <c r="AA36" s="409" t="str">
        <v>-</v>
      </c>
      <c r="AB36" s="435" t="str">
        <v>LC-130/SPoT</v>
      </c>
      <c r="AC36" s="409">
        <v>45334</v>
      </c>
      <c r="AD36" s="409" t="str">
        <v>No</v>
      </c>
      <c r="AE36" s="409" t="str">
        <v>FY24 inter</v>
      </c>
      <c r="AF36" s="409" t="str">
        <v>FY24 intra</v>
      </c>
      <c r="AG36" s="409" t="str">
        <v>D. Gibson</v>
      </c>
      <c r="AH36" s="409">
        <v>44477</v>
      </c>
      <c r="AI36" s="409" t="str">
        <v>I. McEwen</v>
      </c>
      <c r="AJ36" s="409">
        <v>44477</v>
      </c>
      <c r="AK36" s="409" t="str">
        <v>Spare required for drill season</v>
      </c>
      <c r="AL36" s="9" t="str">
        <v/>
      </c>
    </row>
    <row r="37" spans="1:38" s="9" customFormat="1" ht="33.950000000000003" hidden="1">
      <c r="A37" s="25">
        <v>1.2</v>
      </c>
      <c r="B37" s="48" t="str">
        <v>Drill</v>
      </c>
      <c r="C37" s="3" t="str">
        <v>Computing/controls components</v>
      </c>
      <c r="D37" s="3"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35">
        <v>31</v>
      </c>
      <c r="P37" s="443">
        <v>45108</v>
      </c>
      <c r="Q37" s="429" t="str">
        <v>UWM - PTH</v>
      </c>
      <c r="R37" s="428">
        <v>45139</v>
      </c>
      <c r="S37" s="430" t="str">
        <v>Truck</v>
      </c>
      <c r="T37" s="431" t="str">
        <v>PTH - CHC</v>
      </c>
      <c r="U37" s="431" t="str">
        <v>-</v>
      </c>
      <c r="V37" s="432" t="str">
        <v>ComSur</v>
      </c>
      <c r="W37" s="433" t="str">
        <v>CHC-MCM</v>
      </c>
      <c r="X37" s="433" t="str">
        <v>-</v>
      </c>
      <c r="Y37" s="435" t="str">
        <v>USAP Air</v>
      </c>
      <c r="Z37" s="434">
        <v>45231</v>
      </c>
      <c r="AA37" s="409" t="str">
        <v>-</v>
      </c>
      <c r="AB37" s="435" t="str">
        <v>LC-130</v>
      </c>
      <c r="AC37" s="409">
        <v>45245</v>
      </c>
      <c r="AD37" s="409" t="str">
        <v>Yes</v>
      </c>
      <c r="AE37" s="409" t="str">
        <v>FY24 inter</v>
      </c>
      <c r="AF37" s="409" t="str">
        <v>FY24 intra</v>
      </c>
      <c r="AG37" s="409" t="str">
        <v>D. Gibson</v>
      </c>
      <c r="AH37" s="409">
        <v>44477</v>
      </c>
      <c r="AI37" s="409" t="str">
        <v>I. McEwen</v>
      </c>
      <c r="AJ37" s="409">
        <v>44477</v>
      </c>
      <c r="AK37" s="409" t="str">
        <v>Required onsite in FW YR 2 to support controls system tasking</v>
      </c>
      <c r="AL37" s="9" t="str">
        <v/>
      </c>
    </row>
    <row r="38" spans="1:38" s="9" customFormat="1" ht="33.950000000000003" hidden="1">
      <c r="A38" s="25">
        <v>1.2</v>
      </c>
      <c r="B38" s="48" t="str">
        <v>Drill</v>
      </c>
      <c r="C38" s="3" t="str">
        <v>Driller resupply/refit components -  8'  Container</v>
      </c>
      <c r="D38" s="3"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35">
        <v>31</v>
      </c>
      <c r="P38" s="443">
        <v>45108</v>
      </c>
      <c r="Q38" s="429" t="str">
        <v>UWM - PTH</v>
      </c>
      <c r="R38" s="428">
        <v>45139</v>
      </c>
      <c r="S38" s="430" t="str">
        <v>Truck</v>
      </c>
      <c r="T38" s="431" t="str">
        <v>PTH - CHC</v>
      </c>
      <c r="U38" s="431" t="str">
        <v>-</v>
      </c>
      <c r="V38" s="432" t="str">
        <v>ComSur</v>
      </c>
      <c r="W38" s="433" t="str">
        <v>CHC-MCM</v>
      </c>
      <c r="X38" s="433" t="str">
        <v>-</v>
      </c>
      <c r="Y38" s="435" t="str">
        <v>USAP Air</v>
      </c>
      <c r="Z38" s="434">
        <v>45231</v>
      </c>
      <c r="AA38" s="409" t="str">
        <v>-</v>
      </c>
      <c r="AB38" s="435" t="str">
        <v>LC-130</v>
      </c>
      <c r="AC38" s="409">
        <v>45245</v>
      </c>
      <c r="AD38" s="409" t="str">
        <v>Yes</v>
      </c>
      <c r="AE38" s="409" t="str">
        <v>FY24 inter</v>
      </c>
      <c r="AF38" s="409" t="str">
        <v>FY24 intra</v>
      </c>
      <c r="AG38" s="409" t="str">
        <v>D. Gibson</v>
      </c>
      <c r="AH38" s="409">
        <v>44477</v>
      </c>
      <c r="AI38" s="409" t="str">
        <v>I. McEwen</v>
      </c>
      <c r="AJ38" s="409">
        <v>44477</v>
      </c>
      <c r="AK38" s="409" t="str">
        <v>Items identifed in prior field season - 8' container moves with contents overland or by air</v>
      </c>
      <c r="AL38" s="9" t="str">
        <v/>
      </c>
    </row>
    <row r="39" spans="1:38" s="9" customFormat="1" ht="17.100000000000001" hidden="1">
      <c r="A39" s="25">
        <v>1.2</v>
      </c>
      <c r="B39" s="48" t="str">
        <v>Drill</v>
      </c>
      <c r="C39" s="3" t="str">
        <v>Drill refit components</v>
      </c>
      <c r="D39" s="3"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35">
        <v>31</v>
      </c>
      <c r="P39" s="428">
        <v>45108</v>
      </c>
      <c r="Q39" s="429" t="str">
        <v>UWM - PTH</v>
      </c>
      <c r="R39" s="428">
        <v>45139</v>
      </c>
      <c r="S39" s="431" t="str">
        <v>Truck</v>
      </c>
      <c r="T39" s="431" t="str">
        <v>PTH - CHC</v>
      </c>
      <c r="U39" s="431" t="str">
        <v>-</v>
      </c>
      <c r="V39" s="433" t="str">
        <v>Comsur</v>
      </c>
      <c r="W39" s="433" t="str">
        <v>CHC-MCM</v>
      </c>
      <c r="X39" s="433" t="str">
        <v>-</v>
      </c>
      <c r="Y39" s="435" t="str">
        <v>USAP Air</v>
      </c>
      <c r="Z39" s="434">
        <v>45231</v>
      </c>
      <c r="AA39" s="427" t="str">
        <v>-</v>
      </c>
      <c r="AB39" s="435" t="str">
        <v>LC-130</v>
      </c>
      <c r="AC39" s="409">
        <v>45245</v>
      </c>
      <c r="AD39" s="409" t="str">
        <v>Yes</v>
      </c>
      <c r="AE39" s="409" t="str">
        <v>FY24 inter</v>
      </c>
      <c r="AF39" s="409" t="str">
        <v>FY24 intra</v>
      </c>
      <c r="AG39" s="409" t="str">
        <v>D. Gibson</v>
      </c>
      <c r="AH39" s="409">
        <v>44477</v>
      </c>
      <c r="AI39" s="409" t="str">
        <v>I. McEwen</v>
      </c>
      <c r="AJ39" s="409">
        <v>44477</v>
      </c>
      <c r="AK39" s="409" t="str">
        <v>Items identifed in prior field season</v>
      </c>
      <c r="AL39" s="9" t="str">
        <v/>
      </c>
    </row>
    <row r="40" spans="1:38" s="9" customFormat="1" ht="23.25" hidden="1" customHeight="1">
      <c r="A40" s="25">
        <v>1.2</v>
      </c>
      <c r="B40" s="48" t="str">
        <v>Drill</v>
      </c>
      <c r="C40" s="18" t="str">
        <v>Drill Heads DNF - X</v>
      </c>
      <c r="D40" s="496"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35">
        <v>440</v>
      </c>
      <c r="P40" s="428">
        <v>44440</v>
      </c>
      <c r="Q40" s="429" t="str">
        <v>UWM - PTH</v>
      </c>
      <c r="R40" s="428">
        <v>44880</v>
      </c>
      <c r="S40" s="431" t="str">
        <v>Truck</v>
      </c>
      <c r="T40" s="431" t="str">
        <v>PTH - MCM</v>
      </c>
      <c r="U40" s="431" t="str">
        <v>-</v>
      </c>
      <c r="V40" s="433" t="str">
        <v>USAP Vessel</v>
      </c>
      <c r="W40" s="433" t="str">
        <v>USAP Vessel</v>
      </c>
      <c r="X40" s="433" t="str">
        <v>-</v>
      </c>
      <c r="Y40" s="426" t="str">
        <v>-</v>
      </c>
      <c r="Z40" s="434">
        <v>44963</v>
      </c>
      <c r="AA40" s="427" t="str">
        <v>-</v>
      </c>
      <c r="AB40" s="435" t="str">
        <v>LC-130</v>
      </c>
      <c r="AC40" s="409">
        <v>44969</v>
      </c>
      <c r="AD40" s="409" t="str">
        <v>Yes</v>
      </c>
      <c r="AE40" s="409" t="str">
        <v>FY23 inter</v>
      </c>
      <c r="AF40" s="409" t="str">
        <v>FY23 intra</v>
      </c>
      <c r="AG40" s="409" t="str">
        <v>D. Gibson</v>
      </c>
      <c r="AH40" s="409">
        <v>44477</v>
      </c>
      <c r="AI40" s="409" t="str">
        <v>I. McEwen</v>
      </c>
      <c r="AJ40" s="409">
        <v>44477</v>
      </c>
      <c r="AK40" s="409" t="str">
        <v>One drill head shipped one year early for ull system wet-test</v>
      </c>
      <c r="AL40" s="9" t="str">
        <v/>
      </c>
    </row>
    <row r="41" spans="1:38" s="9" customFormat="1" ht="23.25" hidden="1" customHeight="1">
      <c r="A41" s="25">
        <v>1.2</v>
      </c>
      <c r="B41" s="48" t="str">
        <v>Drill</v>
      </c>
      <c r="C41" s="18" t="str">
        <v>Drill Heads DNF - Y</v>
      </c>
      <c r="D41" s="496"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35">
        <v>805</v>
      </c>
      <c r="P41" s="428">
        <v>44440</v>
      </c>
      <c r="Q41" s="429" t="str">
        <v>UWM - PTH</v>
      </c>
      <c r="R41" s="428">
        <v>45245</v>
      </c>
      <c r="S41" s="431" t="str">
        <v>Truck</v>
      </c>
      <c r="T41" s="431" t="str">
        <v>PTH - MCM</v>
      </c>
      <c r="U41" s="431" t="str">
        <v>-</v>
      </c>
      <c r="V41" s="433" t="str">
        <v>USAP Vessel</v>
      </c>
      <c r="W41" s="433" t="str">
        <v>USAP Vessel</v>
      </c>
      <c r="X41" s="433" t="str">
        <v>-</v>
      </c>
      <c r="Y41" s="426" t="str">
        <v>-</v>
      </c>
      <c r="Z41" s="434">
        <v>45328</v>
      </c>
      <c r="AA41" s="427" t="str">
        <v>-</v>
      </c>
      <c r="AB41" s="435" t="str">
        <v>LC-130</v>
      </c>
      <c r="AC41" s="409">
        <v>45334</v>
      </c>
      <c r="AD41" s="409" t="str">
        <v>Yes</v>
      </c>
      <c r="AE41" s="409" t="str">
        <v>FY24 inter</v>
      </c>
      <c r="AF41" s="409" t="str">
        <v>FY24 intra</v>
      </c>
      <c r="AG41" s="409" t="str">
        <v>D. Gibson</v>
      </c>
      <c r="AH41" s="409">
        <v>44477</v>
      </c>
      <c r="AI41" s="409" t="str">
        <v>I. McEwen</v>
      </c>
      <c r="AJ41" s="409">
        <v>44477</v>
      </c>
      <c r="AK41" s="409" t="str">
        <v/>
      </c>
      <c r="AL41" s="9" t="str">
        <v/>
      </c>
    </row>
    <row r="42" spans="1:38" s="9" customFormat="1" ht="22.5" hidden="1" customHeight="1">
      <c r="A42" s="25">
        <v>1.2</v>
      </c>
      <c r="B42" s="48" t="str">
        <v>Drill</v>
      </c>
      <c r="C42" s="18" t="str">
        <v>Drill Heads DNF - R</v>
      </c>
      <c r="D42" s="496"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35">
        <v>805</v>
      </c>
      <c r="P42" s="428">
        <v>44440</v>
      </c>
      <c r="Q42" s="429" t="str">
        <v>UWM - PTH</v>
      </c>
      <c r="R42" s="428">
        <v>45245</v>
      </c>
      <c r="S42" s="431" t="str">
        <v>Truck</v>
      </c>
      <c r="T42" s="431" t="str">
        <v>PTH - MCM</v>
      </c>
      <c r="U42" s="431" t="str">
        <v>-</v>
      </c>
      <c r="V42" s="433" t="str">
        <v>USAP Vessel</v>
      </c>
      <c r="W42" s="433" t="str">
        <v>USAP Vessel</v>
      </c>
      <c r="X42" s="433" t="str">
        <v>-</v>
      </c>
      <c r="Y42" s="426" t="str">
        <v>-</v>
      </c>
      <c r="Z42" s="434">
        <v>45328</v>
      </c>
      <c r="AA42" s="427" t="str">
        <v>-</v>
      </c>
      <c r="AB42" s="435" t="str">
        <v>LC-130</v>
      </c>
      <c r="AC42" s="409">
        <v>45334</v>
      </c>
      <c r="AD42" s="409" t="str">
        <v>Yes</v>
      </c>
      <c r="AE42" s="409" t="str">
        <v>FY24 inter</v>
      </c>
      <c r="AF42" s="409" t="str">
        <v>FY24 intra</v>
      </c>
      <c r="AG42" s="409" t="str">
        <v>D. Gibson</v>
      </c>
      <c r="AH42" s="409">
        <v>44477</v>
      </c>
      <c r="AI42" s="409" t="str">
        <v>I. McEwen</v>
      </c>
      <c r="AJ42" s="409">
        <v>44477</v>
      </c>
      <c r="AK42" s="409" t="str">
        <v/>
      </c>
      <c r="AL42" s="9" t="str">
        <v/>
      </c>
    </row>
    <row r="43" spans="1:38" ht="34.5" customHeight="1">
      <c r="A43" s="165">
        <v>1.2</v>
      </c>
      <c r="B43" s="166" t="str">
        <v>Drill</v>
      </c>
      <c r="C43" s="167" t="str">
        <v>Computing/controls components</v>
      </c>
      <c r="D43" s="167" t="str">
        <v>Computing and controls equipment (Sensor, motor drives and other sensitive electronics) - Do Not Freeze</v>
      </c>
      <c r="E43" s="154">
        <v>96</v>
      </c>
      <c r="F43" s="154">
        <v>48</v>
      </c>
      <c r="G43" s="154">
        <v>48</v>
      </c>
      <c r="H43" s="152">
        <v>1</v>
      </c>
      <c r="I43" s="153">
        <v>128</v>
      </c>
      <c r="J43" s="153">
        <v>3000</v>
      </c>
      <c r="K43" s="154">
        <v>3000</v>
      </c>
      <c r="L43" s="152" t="str">
        <v>estimated</v>
      </c>
      <c r="M43" s="168" t="str">
        <v>DNF</v>
      </c>
      <c r="N43" s="156" t="str">
        <v xml:space="preserve"> U. Wisc. Madison</v>
      </c>
      <c r="O43" s="407">
        <v>31</v>
      </c>
      <c r="P43" s="158">
        <v>45474</v>
      </c>
      <c r="Q43" s="158" t="str">
        <v>UWM - PTH</v>
      </c>
      <c r="R43" s="158">
        <v>45505</v>
      </c>
      <c r="S43" s="159" t="str">
        <v>Truck</v>
      </c>
      <c r="T43" s="160" t="str">
        <v>PTH - CHC</v>
      </c>
      <c r="U43" s="389" t="str">
        <v>-</v>
      </c>
      <c r="V43" s="161" t="str">
        <v>ComSur</v>
      </c>
      <c r="W43" s="162" t="str">
        <v>CHC-MCM</v>
      </c>
      <c r="X43" s="391" t="str">
        <v>-</v>
      </c>
      <c r="Y43" s="157" t="str">
        <v>USAP Air</v>
      </c>
      <c r="Z43" s="169">
        <v>45597</v>
      </c>
      <c r="AA43" s="157" t="str">
        <v>-</v>
      </c>
      <c r="AB43" s="157" t="str">
        <v>LC-130</v>
      </c>
      <c r="AC43" s="157">
        <v>45611</v>
      </c>
      <c r="AD43" s="163" t="str">
        <v>Yes</v>
      </c>
      <c r="AE43" s="163" t="str">
        <v>FY25 inter</v>
      </c>
      <c r="AF43" s="163" t="str">
        <v>FY25 intra</v>
      </c>
      <c r="AG43" s="157" t="str">
        <v>D. Gibson</v>
      </c>
      <c r="AH43" s="157">
        <v>44477</v>
      </c>
      <c r="AI43" s="157" t="str">
        <v>I. McEwen</v>
      </c>
      <c r="AJ43" s="157">
        <v>44477</v>
      </c>
      <c r="AK43" s="163" t="str">
        <v/>
      </c>
      <c r="AL43" s="146" t="str">
        <v/>
      </c>
    </row>
    <row r="44" spans="1:38" s="9" customFormat="1" ht="21.75" hidden="1" customHeight="1">
      <c r="A44" s="67">
        <v>1.2</v>
      </c>
      <c r="B44" s="68" t="str">
        <v>Installation</v>
      </c>
      <c r="C44" s="19" t="str">
        <v xml:space="preserve">Installation Hardware  87-93 </v>
      </c>
      <c r="D44" s="501"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35">
        <v>123</v>
      </c>
      <c r="P44" s="443">
        <v>45122</v>
      </c>
      <c r="Q44" s="429" t="str">
        <v>UWM - PTH</v>
      </c>
      <c r="R44" s="428">
        <v>45245</v>
      </c>
      <c r="S44" s="430" t="str">
        <v>Truck</v>
      </c>
      <c r="T44" s="431" t="str">
        <v>PTH - MCM</v>
      </c>
      <c r="U44" s="431" t="str">
        <v>-</v>
      </c>
      <c r="V44" s="433" t="str">
        <v>USAP Vessel</v>
      </c>
      <c r="W44" s="433" t="str">
        <v>USAP Vessel</v>
      </c>
      <c r="X44" s="433" t="str">
        <v>-</v>
      </c>
      <c r="Y44" s="426" t="str">
        <v>-</v>
      </c>
      <c r="Z44" s="434">
        <v>45328</v>
      </c>
      <c r="AA44" s="427" t="str">
        <v>-</v>
      </c>
      <c r="AB44" s="435" t="str">
        <v>LC-130</v>
      </c>
      <c r="AC44" s="409">
        <v>45337</v>
      </c>
      <c r="AD44" s="409" t="str">
        <v>Yes</v>
      </c>
      <c r="AE44" s="409" t="str">
        <v>FY24 inter</v>
      </c>
      <c r="AF44" s="409" t="str">
        <v>FY24 intra</v>
      </c>
      <c r="AG44" s="409" t="str">
        <v>D. Tosi</v>
      </c>
      <c r="AH44" s="409">
        <v>44461</v>
      </c>
      <c r="AI44" s="409" t="str">
        <v>I. McEwen</v>
      </c>
      <c r="AJ44" s="409">
        <v>44461</v>
      </c>
      <c r="AK44" s="409" t="str">
        <v/>
      </c>
      <c r="AL44" s="9" t="str">
        <v/>
      </c>
    </row>
    <row r="45" spans="1:38" s="9" customFormat="1" ht="32.450000000000003" hidden="1"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35">
        <v>123</v>
      </c>
      <c r="P45" s="443">
        <v>45122</v>
      </c>
      <c r="Q45" s="429" t="str">
        <v>UWM - PTH</v>
      </c>
      <c r="R45" s="428">
        <v>45245</v>
      </c>
      <c r="S45" s="430" t="str">
        <v>Truck</v>
      </c>
      <c r="T45" s="431" t="str">
        <v>PTH - MCM</v>
      </c>
      <c r="U45" s="431" t="str">
        <v>-</v>
      </c>
      <c r="V45" s="433" t="str">
        <v>USAP Vessel</v>
      </c>
      <c r="W45" s="433" t="str">
        <v>USAP Vessel</v>
      </c>
      <c r="X45" s="433" t="str">
        <v>-</v>
      </c>
      <c r="Y45" s="426" t="str">
        <v>-</v>
      </c>
      <c r="Z45" s="434">
        <v>45328</v>
      </c>
      <c r="AA45" s="427" t="str">
        <v>-</v>
      </c>
      <c r="AB45" s="435" t="str">
        <v>LC-130</v>
      </c>
      <c r="AC45" s="409">
        <v>45337</v>
      </c>
      <c r="AD45" s="409" t="str">
        <v>Yes</v>
      </c>
      <c r="AE45" s="409" t="str">
        <v>FY24 inter</v>
      </c>
      <c r="AF45" s="409" t="str">
        <v>FY24 intra</v>
      </c>
      <c r="AG45" s="409" t="str">
        <v>D. Tosi</v>
      </c>
      <c r="AH45" s="409">
        <v>44461</v>
      </c>
      <c r="AI45" s="409" t="str">
        <v>I. McEwen</v>
      </c>
      <c r="AJ45" s="409">
        <v>44461</v>
      </c>
      <c r="AK45" s="409" t="str">
        <v/>
      </c>
      <c r="AL45" s="9" t="str">
        <v/>
      </c>
    </row>
    <row r="46" spans="1:38" s="9" customFormat="1" ht="33.950000000000003" hidden="1">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35">
        <v>244</v>
      </c>
      <c r="P46" s="443">
        <v>44895</v>
      </c>
      <c r="Q46" s="429" t="str">
        <v>UWM - PTH</v>
      </c>
      <c r="R46" s="428">
        <v>45139</v>
      </c>
      <c r="S46" s="430" t="str">
        <v>Truck</v>
      </c>
      <c r="T46" s="431" t="str">
        <v>PTH - CHC</v>
      </c>
      <c r="U46" s="431" t="str">
        <v>-</v>
      </c>
      <c r="V46" s="433" t="str">
        <v>ComSur</v>
      </c>
      <c r="W46" s="433" t="str">
        <v>CHC-MCM</v>
      </c>
      <c r="X46" s="433" t="str">
        <v>-</v>
      </c>
      <c r="Y46" s="435" t="str">
        <v>USAP Air</v>
      </c>
      <c r="Z46" s="434">
        <v>45231</v>
      </c>
      <c r="AA46" s="409" t="str">
        <v>-</v>
      </c>
      <c r="AB46" s="435" t="str">
        <v>LC-130</v>
      </c>
      <c r="AC46" s="409">
        <v>45275</v>
      </c>
      <c r="AD46" s="409" t="str">
        <v>Yes</v>
      </c>
      <c r="AE46" s="409" t="str">
        <v>FY24 inter</v>
      </c>
      <c r="AF46" s="409" t="str">
        <v>FY24 intra</v>
      </c>
      <c r="AG46" s="409" t="str">
        <v>D. Williams</v>
      </c>
      <c r="AH46" s="409">
        <v>44482</v>
      </c>
      <c r="AI46" s="409" t="str">
        <v>D. Tosi</v>
      </c>
      <c r="AJ46" s="409">
        <v>44482</v>
      </c>
      <c r="AK46" s="409" t="str">
        <v/>
      </c>
      <c r="AL46" s="9" t="str">
        <v/>
      </c>
    </row>
    <row r="47" spans="1:38" s="9" customFormat="1" ht="68.099999999999994" hidden="1">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35">
        <v>212</v>
      </c>
      <c r="P47" s="443">
        <v>44927</v>
      </c>
      <c r="Q47" s="429" t="str">
        <v>UWM - PTH</v>
      </c>
      <c r="R47" s="428">
        <v>45139</v>
      </c>
      <c r="S47" s="430" t="str">
        <v>Truck</v>
      </c>
      <c r="T47" s="431" t="str">
        <v>PTH - CHC</v>
      </c>
      <c r="U47" s="431" t="str">
        <v>-</v>
      </c>
      <c r="V47" s="433" t="str">
        <v>ComSur</v>
      </c>
      <c r="W47" s="433" t="str">
        <v>CHC-MCM</v>
      </c>
      <c r="X47" s="433" t="str">
        <v>-</v>
      </c>
      <c r="Y47" s="435" t="str">
        <v>USAP Air</v>
      </c>
      <c r="Z47" s="434">
        <v>45231</v>
      </c>
      <c r="AA47" s="427" t="str">
        <v>-</v>
      </c>
      <c r="AB47" s="435" t="str">
        <v>LC-130</v>
      </c>
      <c r="AC47" s="409">
        <v>45275</v>
      </c>
      <c r="AD47" s="409" t="str">
        <v>Yes</v>
      </c>
      <c r="AE47" s="409" t="str">
        <v>FY24 inter</v>
      </c>
      <c r="AF47" s="409" t="str">
        <v>FY24 intra</v>
      </c>
      <c r="AG47" s="409" t="str">
        <v>S. Boeser</v>
      </c>
      <c r="AH47" s="409">
        <v>44482</v>
      </c>
      <c r="AI47" s="409" t="str">
        <v>D. Tosi</v>
      </c>
      <c r="AJ47" s="409">
        <v>44482</v>
      </c>
      <c r="AK47" s="409" t="str">
        <v>4+1 Radio Pulser, weight  50 kg. 1+1 Radio receiver, assume mDOM weight, 3+1 FOM (assume mDOM weight) + 2ftx2ftx4ft FOM box (50 lbs).  Special Devices from UW. FTS, seismometer missing from estimate.  250 lbs crate estimate</v>
      </c>
      <c r="AL47" s="9" t="str">
        <v/>
      </c>
    </row>
    <row r="48" spans="1:38" s="9" customFormat="1" ht="30" hidden="1"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35">
        <v>61</v>
      </c>
      <c r="P48" s="428">
        <v>45078</v>
      </c>
      <c r="Q48" s="429" t="str">
        <v>UWM - PTH</v>
      </c>
      <c r="R48" s="428">
        <v>45139</v>
      </c>
      <c r="S48" s="430" t="str">
        <v>Truck</v>
      </c>
      <c r="T48" s="431" t="str">
        <v>PTH - CHC</v>
      </c>
      <c r="U48" s="431" t="str">
        <v>-</v>
      </c>
      <c r="V48" s="433" t="str">
        <v>ComSur</v>
      </c>
      <c r="W48" s="433" t="str">
        <v>CHC-MCM</v>
      </c>
      <c r="X48" s="433" t="str">
        <v>-</v>
      </c>
      <c r="Y48" s="435" t="str">
        <v>USAP Air</v>
      </c>
      <c r="Z48" s="434">
        <v>45231</v>
      </c>
      <c r="AA48" s="427" t="str">
        <v>-</v>
      </c>
      <c r="AB48" s="435" t="str">
        <v>LC-130</v>
      </c>
      <c r="AC48" s="409">
        <v>45261</v>
      </c>
      <c r="AD48" s="409" t="str">
        <v>Yes</v>
      </c>
      <c r="AE48" s="409" t="str">
        <v>FY24 inter</v>
      </c>
      <c r="AF48" s="409" t="str">
        <v>FY24 intra</v>
      </c>
      <c r="AG48" s="409" t="str">
        <v>T. Karg</v>
      </c>
      <c r="AH48" s="409">
        <v>44477</v>
      </c>
      <c r="AI48" s="409" t="str">
        <v>D. Tosi</v>
      </c>
      <c r="AJ48" s="409">
        <v>44477</v>
      </c>
      <c r="AK48" s="409" t="str">
        <v/>
      </c>
      <c r="AL48" s="9" t="str">
        <v/>
      </c>
    </row>
    <row r="49" spans="1:40" ht="32.450000000000003" customHeight="1">
      <c r="A49" s="165">
        <v>1.3</v>
      </c>
      <c r="B49" s="166" t="str">
        <v>Installation</v>
      </c>
      <c r="C49" s="385" t="str">
        <v>Special Devices 89-93</v>
      </c>
      <c r="D49" s="167" t="str">
        <v>Special devices for 5 remaining strings from UW (4+1 FOM,2+1 Radio Receivers, 11+1 LOM + seismometer*) - Do Not Deep Freeze</v>
      </c>
      <c r="E49" s="152">
        <v>81</v>
      </c>
      <c r="F49" s="152">
        <v>56</v>
      </c>
      <c r="G49" s="152">
        <v>51</v>
      </c>
      <c r="H49" s="152">
        <v>1</v>
      </c>
      <c r="I49" s="153">
        <v>133.875</v>
      </c>
      <c r="J49" s="153">
        <v>1797</v>
      </c>
      <c r="K49" s="154">
        <v>1797</v>
      </c>
      <c r="L49" s="152" t="str">
        <v>estimated</v>
      </c>
      <c r="M49" s="168" t="str">
        <v>DNDF [-40C]</v>
      </c>
      <c r="N49" s="156" t="str">
        <v>UWM/Kansas</v>
      </c>
      <c r="O49" s="407">
        <v>213</v>
      </c>
      <c r="P49" s="158">
        <v>45292</v>
      </c>
      <c r="Q49" s="158" t="str">
        <v>UWM - PTH</v>
      </c>
      <c r="R49" s="158">
        <v>45505</v>
      </c>
      <c r="S49" s="159" t="str">
        <v>Truck</v>
      </c>
      <c r="T49" s="160" t="str">
        <v>PTH - CHC</v>
      </c>
      <c r="U49" s="389" t="str">
        <v>-</v>
      </c>
      <c r="V49" s="162" t="str">
        <v>ComAir</v>
      </c>
      <c r="W49" s="162" t="str">
        <v>CHC-MCM</v>
      </c>
      <c r="X49" s="391" t="str">
        <v>-</v>
      </c>
      <c r="Y49" s="157" t="str">
        <v>USAP Air</v>
      </c>
      <c r="Z49" s="169">
        <v>45597</v>
      </c>
      <c r="AA49" s="157" t="str">
        <v>-</v>
      </c>
      <c r="AB49" s="157" t="str">
        <v>LC-130</v>
      </c>
      <c r="AC49" s="157">
        <v>45621</v>
      </c>
      <c r="AD49" s="163" t="str">
        <v>Yes</v>
      </c>
      <c r="AE49" s="163" t="str">
        <v>FY25 inter</v>
      </c>
      <c r="AF49" s="163" t="str">
        <v>FY25 intra</v>
      </c>
      <c r="AG49" s="157" t="str">
        <v>S. Boeser</v>
      </c>
      <c r="AH49" s="157">
        <v>44482</v>
      </c>
      <c r="AI49" s="157" t="str">
        <v>D. Tosi</v>
      </c>
      <c r="AJ49" s="157">
        <v>44482</v>
      </c>
      <c r="AK49" s="163" t="str">
        <v xml:space="preserve">21 Special Devices from USA (11+ 1 LOM, 4+1 FOM, 2+1 RR, FTS ? , seismometer), assume mDOM weight. 200 lbs wood crate. FTS not included. (*) Seismometer not yet in CMD </v>
      </c>
      <c r="AL49" s="146" t="str">
        <v/>
      </c>
    </row>
    <row r="50" spans="1:40" ht="32.450000000000003" customHeight="1">
      <c r="A50" s="165">
        <v>1.5</v>
      </c>
      <c r="B50" s="166" t="str">
        <v>Installation</v>
      </c>
      <c r="C50" s="167" t="str">
        <v>Calibration/Special Devices  89-93</v>
      </c>
      <c r="D50" s="167" t="str">
        <v>8+1 PencilBeams, 12+1 pDOMs from UW - Do Not Deep Freeze</v>
      </c>
      <c r="E50" s="152">
        <v>75</v>
      </c>
      <c r="F50" s="152">
        <v>56.5</v>
      </c>
      <c r="G50" s="152">
        <v>41</v>
      </c>
      <c r="H50" s="152">
        <v>1</v>
      </c>
      <c r="I50" s="153">
        <v>100.54253472222223</v>
      </c>
      <c r="J50" s="153">
        <v>1602</v>
      </c>
      <c r="K50" s="154">
        <v>1602</v>
      </c>
      <c r="L50" s="152" t="str">
        <v>preliminary</v>
      </c>
      <c r="M50" s="168" t="str">
        <v>DNDF [-40C]</v>
      </c>
      <c r="N50" s="156" t="str">
        <v xml:space="preserve"> U. Wisc. Madison</v>
      </c>
      <c r="O50" s="407">
        <v>352</v>
      </c>
      <c r="P50" s="158">
        <v>45153</v>
      </c>
      <c r="Q50" s="158" t="str">
        <v>UWM - PTH</v>
      </c>
      <c r="R50" s="158">
        <v>45505</v>
      </c>
      <c r="S50" s="159" t="str">
        <v>Truck</v>
      </c>
      <c r="T50" s="160" t="str">
        <v>PTH - CHC</v>
      </c>
      <c r="U50" s="389" t="str">
        <v>-</v>
      </c>
      <c r="V50" s="162" t="str">
        <v>ComSur</v>
      </c>
      <c r="W50" s="162" t="str">
        <v>CHC-MCM</v>
      </c>
      <c r="X50" s="391" t="str">
        <v>-</v>
      </c>
      <c r="Y50" s="157" t="str">
        <v>USAP Air</v>
      </c>
      <c r="Z50" s="169">
        <v>45597</v>
      </c>
      <c r="AA50" s="157" t="str">
        <v>-</v>
      </c>
      <c r="AB50" s="157" t="str">
        <v>LC-130</v>
      </c>
      <c r="AC50" s="157">
        <v>45621</v>
      </c>
      <c r="AD50" s="163" t="str">
        <v>Yes</v>
      </c>
      <c r="AE50" s="163" t="str">
        <v>FY25 inter</v>
      </c>
      <c r="AF50" s="163" t="str">
        <v>FY25 intra</v>
      </c>
      <c r="AG50" s="157" t="str">
        <v>D. Williams</v>
      </c>
      <c r="AH50" s="157">
        <v>44482</v>
      </c>
      <c r="AI50" s="157" t="str">
        <v>D. Tosi</v>
      </c>
      <c r="AJ50" s="157">
        <v>44474</v>
      </c>
      <c r="AK50" s="163" t="str">
        <v xml:space="preserve">8+1 PencilBeams for strings 89-93, 12+1 pDOMs, assume mDOM weight. 244 lbs crate. </v>
      </c>
      <c r="AL50" s="146" t="str">
        <v/>
      </c>
    </row>
    <row r="51" spans="1:40" ht="27" customHeight="1">
      <c r="A51" s="165">
        <v>1.2</v>
      </c>
      <c r="B51" s="166" t="str">
        <v>Installation</v>
      </c>
      <c r="C51" s="164" t="str">
        <v>Misc. Science Equipment - FY25</v>
      </c>
      <c r="D51" s="164" t="str">
        <v>Scientific and test equipment  (Handheld test devices, Paros, et al.) - Do Not Freeze</v>
      </c>
      <c r="E51" s="176">
        <v>48</v>
      </c>
      <c r="F51" s="176">
        <v>48</v>
      </c>
      <c r="G51" s="176">
        <v>48</v>
      </c>
      <c r="H51" s="152">
        <v>1</v>
      </c>
      <c r="I51" s="153">
        <v>64</v>
      </c>
      <c r="J51" s="153">
        <v>1500</v>
      </c>
      <c r="K51" s="154">
        <v>1500</v>
      </c>
      <c r="L51" s="176" t="str">
        <v>estimated</v>
      </c>
      <c r="M51" s="177" t="str">
        <v>DNF</v>
      </c>
      <c r="N51" s="156" t="str">
        <v xml:space="preserve"> U. Wisc. Madison</v>
      </c>
      <c r="O51" s="407">
        <v>61</v>
      </c>
      <c r="P51" s="158">
        <v>45444</v>
      </c>
      <c r="Q51" s="158" t="str">
        <v>UWM - PTH</v>
      </c>
      <c r="R51" s="158">
        <v>45505</v>
      </c>
      <c r="S51" s="159" t="str">
        <v>Truck</v>
      </c>
      <c r="T51" s="160" t="str">
        <v>PTH - CHC</v>
      </c>
      <c r="U51" s="389" t="str">
        <v>-</v>
      </c>
      <c r="V51" s="162" t="str">
        <v>ComSur</v>
      </c>
      <c r="W51" s="162" t="str">
        <v>CHC-MCM</v>
      </c>
      <c r="X51" s="391" t="str">
        <v>-</v>
      </c>
      <c r="Y51" s="157" t="str">
        <v>USAP Air</v>
      </c>
      <c r="Z51" s="169">
        <v>45597</v>
      </c>
      <c r="AA51" s="157" t="str">
        <v>-</v>
      </c>
      <c r="AB51" s="157" t="str">
        <v>LC-130</v>
      </c>
      <c r="AC51" s="157">
        <v>45627</v>
      </c>
      <c r="AD51" s="163" t="str">
        <v>Yes</v>
      </c>
      <c r="AE51" s="163" t="str">
        <v>FY25 inter</v>
      </c>
      <c r="AF51" s="163" t="str">
        <v>FY25 intra</v>
      </c>
      <c r="AG51" s="157" t="str">
        <v>D. Tosi</v>
      </c>
      <c r="AH51" s="157">
        <v>44477</v>
      </c>
      <c r="AI51" s="157" t="str">
        <v>D. Tosi</v>
      </c>
      <c r="AJ51" s="157">
        <v>44477</v>
      </c>
      <c r="AK51" s="163" t="str">
        <v/>
      </c>
      <c r="AL51" s="146" t="str">
        <v/>
      </c>
    </row>
    <row r="52" spans="1:40" ht="33.950000000000003">
      <c r="A52" s="165">
        <v>1.5</v>
      </c>
      <c r="B52" s="166" t="str">
        <v>Installation</v>
      </c>
      <c r="C52" s="167" t="str">
        <v>Dust logging device</v>
      </c>
      <c r="D52" s="167" t="str">
        <v>Blue Logging device - sensitive equipment - Do Not Freeze</v>
      </c>
      <c r="E52" s="152">
        <v>48</v>
      </c>
      <c r="F52" s="152">
        <v>17</v>
      </c>
      <c r="G52" s="152">
        <v>17</v>
      </c>
      <c r="H52" s="152">
        <v>1</v>
      </c>
      <c r="I52" s="153">
        <v>8.0277777777777786</v>
      </c>
      <c r="J52" s="153">
        <v>60</v>
      </c>
      <c r="K52" s="154">
        <v>60</v>
      </c>
      <c r="L52" s="152" t="str">
        <v>actual</v>
      </c>
      <c r="M52" s="168" t="str">
        <v>DNF</v>
      </c>
      <c r="N52" s="156" t="str">
        <v xml:space="preserve"> U. Wisc. Madison</v>
      </c>
      <c r="O52" s="407">
        <v>61</v>
      </c>
      <c r="P52" s="158">
        <v>45444</v>
      </c>
      <c r="Q52" s="158" t="str">
        <v>UWM - PTH</v>
      </c>
      <c r="R52" s="158">
        <v>45505</v>
      </c>
      <c r="S52" s="159" t="str">
        <v>Truck</v>
      </c>
      <c r="T52" s="160" t="str">
        <v>PTH - CHC</v>
      </c>
      <c r="U52" s="389" t="str">
        <v>-</v>
      </c>
      <c r="V52" s="162" t="str">
        <v>ComAir</v>
      </c>
      <c r="W52" s="162" t="str">
        <v>CHC-MCM</v>
      </c>
      <c r="X52" s="391" t="str">
        <v>-</v>
      </c>
      <c r="Y52" s="157" t="str">
        <v>USAP Air</v>
      </c>
      <c r="Z52" s="169">
        <v>45597</v>
      </c>
      <c r="AA52" s="157" t="str">
        <v>-</v>
      </c>
      <c r="AB52" s="157" t="str">
        <v>LC-130</v>
      </c>
      <c r="AC52" s="157">
        <v>45621</v>
      </c>
      <c r="AD52" s="163" t="str">
        <v>Yes</v>
      </c>
      <c r="AE52" s="163" t="str">
        <v>FY25 inter</v>
      </c>
      <c r="AF52" s="163" t="str">
        <v>FY25 intra</v>
      </c>
      <c r="AG52" s="157" t="str">
        <v>D. Williams</v>
      </c>
      <c r="AH52" s="157">
        <v>44483</v>
      </c>
      <c r="AI52" s="157" t="str">
        <v>D. Tosi</v>
      </c>
      <c r="AJ52" s="157">
        <v>44457</v>
      </c>
      <c r="AK52" s="163" t="str">
        <v>Used weights from last deployment season shipment data (could be combined)</v>
      </c>
      <c r="AL52" s="146" t="str">
        <v/>
      </c>
    </row>
    <row r="53" spans="1:40" ht="33.950000000000003">
      <c r="A53" s="165">
        <v>1.5</v>
      </c>
      <c r="B53" s="166" t="str">
        <v>Installation</v>
      </c>
      <c r="C53" s="167" t="str">
        <v>Dust logging device</v>
      </c>
      <c r="D53" s="167" t="str">
        <v>Green Logging device - sensitive equipment - Do Not Freeze</v>
      </c>
      <c r="E53" s="152">
        <v>48</v>
      </c>
      <c r="F53" s="152">
        <v>17</v>
      </c>
      <c r="G53" s="152">
        <v>17</v>
      </c>
      <c r="H53" s="152">
        <v>1</v>
      </c>
      <c r="I53" s="153">
        <v>8.0277777777777786</v>
      </c>
      <c r="J53" s="153">
        <v>60</v>
      </c>
      <c r="K53" s="154">
        <v>60</v>
      </c>
      <c r="L53" s="152" t="str">
        <v>actual</v>
      </c>
      <c r="M53" s="168" t="str">
        <v>DNF</v>
      </c>
      <c r="N53" s="156" t="str">
        <v xml:space="preserve"> U. Wisc. Madison</v>
      </c>
      <c r="O53" s="407">
        <v>61</v>
      </c>
      <c r="P53" s="158">
        <v>45444</v>
      </c>
      <c r="Q53" s="158" t="str">
        <v>UWM - PTH</v>
      </c>
      <c r="R53" s="158">
        <v>45505</v>
      </c>
      <c r="S53" s="159" t="str">
        <v>Truck</v>
      </c>
      <c r="T53" s="160" t="str">
        <v>PTH - CHC</v>
      </c>
      <c r="U53" s="389" t="str">
        <v>-</v>
      </c>
      <c r="V53" s="162" t="str">
        <v>ComAir</v>
      </c>
      <c r="W53" s="162" t="str">
        <v>CHC-MCM</v>
      </c>
      <c r="X53" s="391" t="str">
        <v>-</v>
      </c>
      <c r="Y53" s="157" t="str">
        <v>USAP Air</v>
      </c>
      <c r="Z53" s="169">
        <v>45597</v>
      </c>
      <c r="AA53" s="157" t="str">
        <v>-</v>
      </c>
      <c r="AB53" s="157" t="str">
        <v>LC-130</v>
      </c>
      <c r="AC53" s="157">
        <v>45621</v>
      </c>
      <c r="AD53" s="163" t="str">
        <v>Yes</v>
      </c>
      <c r="AE53" s="163" t="str">
        <v>FY25 inter</v>
      </c>
      <c r="AF53" s="163" t="str">
        <v>FY25 intra</v>
      </c>
      <c r="AG53" s="157" t="str">
        <v>D. Williams</v>
      </c>
      <c r="AH53" s="157">
        <v>44483</v>
      </c>
      <c r="AI53" s="157" t="str">
        <v>D. Tosi</v>
      </c>
      <c r="AJ53" s="157">
        <v>44458</v>
      </c>
      <c r="AK53" s="163" t="str">
        <v>Used weights from last deployment season shipment data (could be combined)</v>
      </c>
      <c r="AL53" s="146" t="str">
        <v/>
      </c>
    </row>
    <row r="54" spans="1:40" ht="33.950000000000003">
      <c r="A54" s="165">
        <v>1.5</v>
      </c>
      <c r="B54" s="166" t="str">
        <v>Installation</v>
      </c>
      <c r="C54" s="167" t="str">
        <v>Dust logging device</v>
      </c>
      <c r="D54" s="167" t="str">
        <v>Electronics parts - sensitive equipment - Do Not Freeze</v>
      </c>
      <c r="E54" s="152">
        <v>26</v>
      </c>
      <c r="F54" s="152">
        <v>24</v>
      </c>
      <c r="G54" s="152">
        <v>24</v>
      </c>
      <c r="H54" s="152">
        <v>1</v>
      </c>
      <c r="I54" s="153">
        <v>8.6666666666666661</v>
      </c>
      <c r="J54" s="153">
        <v>120</v>
      </c>
      <c r="K54" s="154">
        <v>120</v>
      </c>
      <c r="L54" s="152" t="str">
        <v>actual</v>
      </c>
      <c r="M54" s="168" t="str">
        <v>DNF</v>
      </c>
      <c r="N54" s="156" t="str">
        <v xml:space="preserve"> U. Wisc. Madison</v>
      </c>
      <c r="O54" s="407">
        <v>61</v>
      </c>
      <c r="P54" s="158">
        <v>45444</v>
      </c>
      <c r="Q54" s="158" t="str">
        <v>UWM - PTH</v>
      </c>
      <c r="R54" s="158">
        <v>45505</v>
      </c>
      <c r="S54" s="159" t="str">
        <v>Truck</v>
      </c>
      <c r="T54" s="160" t="str">
        <v>PTH - CHC</v>
      </c>
      <c r="U54" s="389" t="str">
        <v>-</v>
      </c>
      <c r="V54" s="162" t="str">
        <v>ComAir</v>
      </c>
      <c r="W54" s="162" t="str">
        <v>CHC-MCM</v>
      </c>
      <c r="X54" s="391" t="str">
        <v>-</v>
      </c>
      <c r="Y54" s="157" t="str">
        <v>USAP Air</v>
      </c>
      <c r="Z54" s="169">
        <v>45597</v>
      </c>
      <c r="AA54" s="157" t="str">
        <v>-</v>
      </c>
      <c r="AB54" s="157" t="str">
        <v>LC-130</v>
      </c>
      <c r="AC54" s="157">
        <v>45621</v>
      </c>
      <c r="AD54" s="163" t="str">
        <v>Yes</v>
      </c>
      <c r="AE54" s="163" t="str">
        <v>FY25 inter</v>
      </c>
      <c r="AF54" s="163" t="str">
        <v>FY25 intra</v>
      </c>
      <c r="AG54" s="157" t="str">
        <v>D. Williams</v>
      </c>
      <c r="AH54" s="157">
        <v>44483</v>
      </c>
      <c r="AI54" s="157" t="str">
        <v>D. Tosi</v>
      </c>
      <c r="AJ54" s="157">
        <v>44459</v>
      </c>
      <c r="AK54" s="163" t="str">
        <v>Used weights from last deployment season shipment data (could be combined)</v>
      </c>
      <c r="AL54" s="146" t="str">
        <v/>
      </c>
    </row>
    <row r="55" spans="1:40" ht="33.950000000000003">
      <c r="A55" s="165">
        <v>1.5</v>
      </c>
      <c r="B55" s="166" t="str">
        <v>Installation</v>
      </c>
      <c r="C55" s="167" t="str">
        <v>Dust logging device</v>
      </c>
      <c r="D55" s="167" t="str">
        <v>Electronics parts - sensitive equipment - Do Not Freeze</v>
      </c>
      <c r="E55" s="152">
        <v>26</v>
      </c>
      <c r="F55" s="152">
        <v>23</v>
      </c>
      <c r="G55" s="152">
        <v>20</v>
      </c>
      <c r="H55" s="152">
        <v>1</v>
      </c>
      <c r="I55" s="153">
        <v>6.9212962962962967</v>
      </c>
      <c r="J55" s="153">
        <v>60</v>
      </c>
      <c r="K55" s="154">
        <v>60</v>
      </c>
      <c r="L55" s="152" t="str">
        <v>actual</v>
      </c>
      <c r="M55" s="168" t="str">
        <v>DNF</v>
      </c>
      <c r="N55" s="156" t="str">
        <v xml:space="preserve"> U. Wisc. Madison</v>
      </c>
      <c r="O55" s="407">
        <v>61</v>
      </c>
      <c r="P55" s="158">
        <v>45444</v>
      </c>
      <c r="Q55" s="158" t="str">
        <v>UWM - PTH</v>
      </c>
      <c r="R55" s="158">
        <v>45505</v>
      </c>
      <c r="S55" s="159" t="str">
        <v>Truck</v>
      </c>
      <c r="T55" s="160" t="str">
        <v>PTH - CHC</v>
      </c>
      <c r="U55" s="389" t="str">
        <v>-</v>
      </c>
      <c r="V55" s="162" t="str">
        <v>ComAir</v>
      </c>
      <c r="W55" s="162" t="str">
        <v>CHC-MCM</v>
      </c>
      <c r="X55" s="391" t="str">
        <v>-</v>
      </c>
      <c r="Y55" s="157" t="str">
        <v>USAP Air</v>
      </c>
      <c r="Z55" s="169">
        <v>45597</v>
      </c>
      <c r="AA55" s="157" t="str">
        <v>-</v>
      </c>
      <c r="AB55" s="157" t="str">
        <v>LC-130</v>
      </c>
      <c r="AC55" s="157">
        <v>45621</v>
      </c>
      <c r="AD55" s="163" t="str">
        <v>Yes</v>
      </c>
      <c r="AE55" s="163" t="str">
        <v>FY25 inter</v>
      </c>
      <c r="AF55" s="163" t="str">
        <v>FY25 intra</v>
      </c>
      <c r="AG55" s="157" t="str">
        <v>D. Williams</v>
      </c>
      <c r="AH55" s="157">
        <v>44483</v>
      </c>
      <c r="AI55" s="157" t="str">
        <v>D. Tosi</v>
      </c>
      <c r="AJ55" s="157">
        <v>44460</v>
      </c>
      <c r="AK55" s="163" t="str">
        <v>Used weights from last deployment season shipment data (could be combined)</v>
      </c>
      <c r="AL55" s="146" t="str">
        <v/>
      </c>
    </row>
    <row r="56" spans="1:40" ht="33.950000000000003">
      <c r="A56" s="165">
        <v>1.5</v>
      </c>
      <c r="B56" s="166" t="str">
        <v>Installation</v>
      </c>
      <c r="C56" s="167" t="str">
        <v>Logging winch</v>
      </c>
      <c r="D56" s="167" t="str">
        <v xml:space="preserve">Winch to be used for Dust Logging </v>
      </c>
      <c r="E56" s="152">
        <v>86</v>
      </c>
      <c r="F56" s="152">
        <v>60</v>
      </c>
      <c r="G56" s="152">
        <v>68</v>
      </c>
      <c r="H56" s="152">
        <v>1</v>
      </c>
      <c r="I56" s="153">
        <v>203.05555555555554</v>
      </c>
      <c r="J56" s="153">
        <v>3500</v>
      </c>
      <c r="K56" s="154">
        <v>3500</v>
      </c>
      <c r="L56" s="152" t="str">
        <v>preliminary</v>
      </c>
      <c r="M56" s="168" t="str">
        <v/>
      </c>
      <c r="N56" s="156" t="str">
        <v xml:space="preserve"> U. Wisc. Madison</v>
      </c>
      <c r="O56" s="407">
        <v>61</v>
      </c>
      <c r="P56" s="158">
        <v>45444</v>
      </c>
      <c r="Q56" s="158" t="str">
        <v>UWM - PTH</v>
      </c>
      <c r="R56" s="158">
        <v>45505</v>
      </c>
      <c r="S56" s="159" t="str">
        <v>Truck</v>
      </c>
      <c r="T56" s="160" t="str">
        <v>PTH - CHC</v>
      </c>
      <c r="U56" s="389" t="str">
        <v>-</v>
      </c>
      <c r="V56" s="162" t="str">
        <v>ComAir</v>
      </c>
      <c r="W56" s="162" t="str">
        <v>CHC-MCM</v>
      </c>
      <c r="X56" s="391" t="str">
        <v>-</v>
      </c>
      <c r="Y56" s="157" t="str">
        <v>USAP Air</v>
      </c>
      <c r="Z56" s="169">
        <v>45597</v>
      </c>
      <c r="AA56" s="157" t="str">
        <v>-</v>
      </c>
      <c r="AB56" s="157" t="str">
        <v>LC-130</v>
      </c>
      <c r="AC56" s="157">
        <v>45621</v>
      </c>
      <c r="AD56" s="163" t="str">
        <v>Yes</v>
      </c>
      <c r="AE56" s="163" t="str">
        <v>FY25 inter</v>
      </c>
      <c r="AF56" s="163" t="str">
        <v>FY25 intra</v>
      </c>
      <c r="AG56" s="157" t="str">
        <v>D. Tosi</v>
      </c>
      <c r="AH56" s="157">
        <v>44477</v>
      </c>
      <c r="AI56" s="157" t="str">
        <v>I. McEwen</v>
      </c>
      <c r="AJ56" s="157">
        <v>44477</v>
      </c>
      <c r="AK56" s="163" t="str">
        <v>Used weights and cubes of IDP deep logging winch. Send back end of season</v>
      </c>
      <c r="AL56" s="146" t="str">
        <v/>
      </c>
    </row>
    <row r="57" spans="1:40" ht="33.950000000000003">
      <c r="A57" s="165">
        <v>1.5</v>
      </c>
      <c r="B57" s="166" t="str">
        <v>Installation</v>
      </c>
      <c r="C57" s="167" t="str">
        <v>Logging winch control box</v>
      </c>
      <c r="D57" s="167" t="str">
        <v>Control Box for winch for Dust Logging  - sensitive equipment - Do Not Freeze</v>
      </c>
      <c r="E57" s="152">
        <v>48</v>
      </c>
      <c r="F57" s="152">
        <v>48</v>
      </c>
      <c r="G57" s="152">
        <v>36</v>
      </c>
      <c r="H57" s="152">
        <v>1</v>
      </c>
      <c r="I57" s="153">
        <v>48</v>
      </c>
      <c r="J57" s="153">
        <v>400</v>
      </c>
      <c r="K57" s="154">
        <v>400</v>
      </c>
      <c r="L57" s="152" t="str">
        <v>preliminary</v>
      </c>
      <c r="M57" s="168" t="str">
        <v>DNF</v>
      </c>
      <c r="N57" s="156" t="str">
        <v xml:space="preserve"> U. Wisc. Madison</v>
      </c>
      <c r="O57" s="407">
        <v>61</v>
      </c>
      <c r="P57" s="158">
        <v>45444</v>
      </c>
      <c r="Q57" s="158" t="str">
        <v>UWM - PTH</v>
      </c>
      <c r="R57" s="158">
        <v>45505</v>
      </c>
      <c r="S57" s="159" t="str">
        <v>Truck</v>
      </c>
      <c r="T57" s="160" t="str">
        <v>PTH - CHC</v>
      </c>
      <c r="U57" s="389" t="str">
        <v>-</v>
      </c>
      <c r="V57" s="162" t="str">
        <v>ComAir</v>
      </c>
      <c r="W57" s="162" t="str">
        <v>CHC-MCM</v>
      </c>
      <c r="X57" s="391" t="str">
        <v>-</v>
      </c>
      <c r="Y57" s="157" t="str">
        <v>USAP Air</v>
      </c>
      <c r="Z57" s="169">
        <v>45597</v>
      </c>
      <c r="AA57" s="157" t="str">
        <v>-</v>
      </c>
      <c r="AB57" s="157" t="str">
        <v>LC-130</v>
      </c>
      <c r="AC57" s="157">
        <v>45621</v>
      </c>
      <c r="AD57" s="163" t="str">
        <v>Yes</v>
      </c>
      <c r="AE57" s="163" t="str">
        <v>FY25 inter</v>
      </c>
      <c r="AF57" s="163" t="str">
        <v>FY25 intra</v>
      </c>
      <c r="AG57" s="157" t="str">
        <v>D. Tosi</v>
      </c>
      <c r="AH57" s="157">
        <v>44477</v>
      </c>
      <c r="AI57" s="157" t="str">
        <v>I. McEwen</v>
      </c>
      <c r="AJ57" s="157">
        <v>44477</v>
      </c>
      <c r="AK57" s="163" t="str">
        <v>Used weights and cubes of IDP deep logging winch. Send back end of season</v>
      </c>
      <c r="AL57" s="146"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s="9" customFormat="1" ht="30" hidden="1" customHeight="1" thickTop="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35">
        <v>14</v>
      </c>
      <c r="P59" s="428">
        <v>44866</v>
      </c>
      <c r="Q59" s="429" t="str">
        <v>MSU - PTH</v>
      </c>
      <c r="R59" s="428">
        <v>44880</v>
      </c>
      <c r="S59" s="430" t="str">
        <v>Truck</v>
      </c>
      <c r="T59" s="431" t="str">
        <v>PTH - MCM</v>
      </c>
      <c r="U59" s="431" t="str">
        <v>-</v>
      </c>
      <c r="V59" s="433" t="str">
        <v>USAP Vessel</v>
      </c>
      <c r="W59" s="433" t="str">
        <v>USAP Vessel</v>
      </c>
      <c r="X59" s="433" t="str">
        <v>-</v>
      </c>
      <c r="Y59" s="426" t="str">
        <v>-</v>
      </c>
      <c r="Z59" s="434">
        <v>44963</v>
      </c>
      <c r="AA59" s="409" t="str">
        <v>-</v>
      </c>
      <c r="AB59" s="435" t="str">
        <v>LC-130/SPoT</v>
      </c>
      <c r="AC59" s="409">
        <v>45270</v>
      </c>
      <c r="AD59" s="409" t="str">
        <v>Yes</v>
      </c>
      <c r="AE59" s="409" t="str">
        <v>FY23 inter</v>
      </c>
      <c r="AF59" s="409" t="str">
        <v>FY24 intra</v>
      </c>
      <c r="AG59" s="409" t="str">
        <v>T. DeYoung</v>
      </c>
      <c r="AH59" s="409">
        <v>44482</v>
      </c>
      <c r="AI59" s="409" t="str">
        <v>D. Tosi</v>
      </c>
      <c r="AJ59" s="409">
        <v>44480</v>
      </c>
      <c r="AK59" s="409" t="str">
        <v>Each is 66" x 30" x 14", each is 112 lbs. Assume Folding crate. Simple passive objects, work plan can probably be shifted to increase float.</v>
      </c>
      <c r="AL59" s="9" t="str">
        <v/>
      </c>
    </row>
    <row r="60" spans="1:40" s="9" customFormat="1" ht="32.25" hidden="1"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12" t="str">
        <v/>
      </c>
      <c r="N60" s="427" t="str">
        <v>MSU</v>
      </c>
      <c r="O60" s="435">
        <v>366</v>
      </c>
      <c r="P60" s="428">
        <v>44530</v>
      </c>
      <c r="Q60" s="429" t="str">
        <v>MSU - PTH</v>
      </c>
      <c r="R60" s="428">
        <v>44896</v>
      </c>
      <c r="S60" s="430" t="str">
        <v>Truck</v>
      </c>
      <c r="T60" s="431" t="str">
        <v>PTH - MCM</v>
      </c>
      <c r="U60" s="431" t="str">
        <v>-</v>
      </c>
      <c r="V60" s="433" t="str">
        <v>USAP Vessel</v>
      </c>
      <c r="W60" s="433" t="str">
        <v>USAP Vessel</v>
      </c>
      <c r="X60" s="433" t="str">
        <v>-</v>
      </c>
      <c r="Y60" s="426" t="str">
        <v>-</v>
      </c>
      <c r="Z60" s="434">
        <v>44963</v>
      </c>
      <c r="AA60" s="409" t="str">
        <v>-</v>
      </c>
      <c r="AB60" s="435" t="str">
        <v>LC-130</v>
      </c>
      <c r="AC60" s="409">
        <v>45250</v>
      </c>
      <c r="AD60" s="409" t="str">
        <v>Yes</v>
      </c>
      <c r="AE60" s="409" t="str">
        <v>FY23 inter</v>
      </c>
      <c r="AF60" s="409" t="str">
        <v>FY24 intra</v>
      </c>
      <c r="AG60" s="409" t="str">
        <v>T. DeYoung</v>
      </c>
      <c r="AH60" s="409">
        <v>44482</v>
      </c>
      <c r="AI60" s="409" t="str">
        <v>D. Tosi</v>
      </c>
      <c r="AJ60" s="409">
        <v>44480</v>
      </c>
      <c r="AK60" s="409" t="str">
        <v/>
      </c>
      <c r="AL60" s="9" t="str">
        <v/>
      </c>
    </row>
    <row r="61" spans="1:40" s="9" customFormat="1" ht="68.099999999999994" hidden="1">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12" t="str">
        <v>DNDF[-40C](*)</v>
      </c>
      <c r="N61" s="427" t="str">
        <v>MSU</v>
      </c>
      <c r="O61" s="435">
        <v>46</v>
      </c>
      <c r="P61" s="428">
        <v>44985</v>
      </c>
      <c r="Q61" s="429" t="str">
        <v>MSU - PTH</v>
      </c>
      <c r="R61" s="428">
        <v>45031</v>
      </c>
      <c r="S61" s="431" t="str">
        <v>Truck</v>
      </c>
      <c r="T61" s="431" t="str">
        <v>PTH - MCM</v>
      </c>
      <c r="U61" s="431" t="str">
        <v>-</v>
      </c>
      <c r="V61" s="433" t="str">
        <v>USAP Vessel</v>
      </c>
      <c r="W61" s="433" t="str">
        <v>USAP Vessel</v>
      </c>
      <c r="X61" s="433" t="str">
        <v>-</v>
      </c>
      <c r="Y61" s="426" t="str">
        <v>-</v>
      </c>
      <c r="Z61" s="434">
        <v>45328</v>
      </c>
      <c r="AA61" s="427" t="str">
        <v>-</v>
      </c>
      <c r="AB61" s="435" t="str">
        <v>LC-130</v>
      </c>
      <c r="AC61" s="409">
        <v>45337</v>
      </c>
      <c r="AD61" s="409" t="str">
        <v>Yes</v>
      </c>
      <c r="AE61" s="409" t="str">
        <v>FY24 inter</v>
      </c>
      <c r="AF61" s="409" t="str">
        <v>FY24 intra</v>
      </c>
      <c r="AG61" s="409" t="str">
        <v>T. DeYoung</v>
      </c>
      <c r="AH61" s="409">
        <v>44459</v>
      </c>
      <c r="AI61" s="409" t="str">
        <v>D. Tosi</v>
      </c>
      <c r="AJ61" s="409">
        <v>44480</v>
      </c>
      <c r="AK61" s="409" t="e">
        <v>#VALUE!</v>
      </c>
      <c r="AL61" s="9" t="str">
        <v/>
      </c>
    </row>
    <row r="62" spans="1:40" ht="32.25" customHeight="1">
      <c r="A62" s="147">
        <v>1.4</v>
      </c>
      <c r="B62" s="148" t="str">
        <v>Installation</v>
      </c>
      <c r="C62" s="150" t="str">
        <v>Breakout cables for strings 89-93</v>
      </c>
      <c r="D62" s="150" t="str">
        <v>Stored in McMurdo FY24. 5 wooden crates containing spooled breakout cable assemblies - 96 cf/ 1,000 lbs each (preliminary) -  Do Not Deep Freeze</v>
      </c>
      <c r="E62" s="151">
        <v>72</v>
      </c>
      <c r="F62" s="151">
        <v>48</v>
      </c>
      <c r="G62" s="151">
        <v>48</v>
      </c>
      <c r="H62" s="152">
        <v>5</v>
      </c>
      <c r="I62" s="154">
        <v>480</v>
      </c>
      <c r="J62" s="154">
        <v>1000</v>
      </c>
      <c r="K62" s="154">
        <v>5000</v>
      </c>
      <c r="L62" s="151" t="str">
        <v>estimated</v>
      </c>
      <c r="M62" s="178" t="str">
        <v>DNDF[-40C](*)</v>
      </c>
      <c r="N62" s="156" t="str">
        <v>MSU</v>
      </c>
      <c r="O62" s="407">
        <v>24</v>
      </c>
      <c r="P62" s="158">
        <v>45068</v>
      </c>
      <c r="Q62" s="158" t="str">
        <v>MSU - PTH</v>
      </c>
      <c r="R62" s="158">
        <v>45092</v>
      </c>
      <c r="S62" s="160" t="str">
        <v>Truck</v>
      </c>
      <c r="T62" s="160" t="str">
        <v>PTH - MCM</v>
      </c>
      <c r="U62" s="389" t="str">
        <v>-</v>
      </c>
      <c r="V62" s="162" t="str">
        <v>USAP Vessel</v>
      </c>
      <c r="W62" s="162" t="str">
        <v>USAP Vessel</v>
      </c>
      <c r="X62" s="391" t="str">
        <v>-</v>
      </c>
      <c r="Y62" s="169" t="str">
        <v>-</v>
      </c>
      <c r="Z62" s="169">
        <v>45328</v>
      </c>
      <c r="AA62" s="157" t="str">
        <v>-</v>
      </c>
      <c r="AB62" s="157" t="str">
        <v>LC-130/SPoT</v>
      </c>
      <c r="AC62" s="157">
        <v>45621</v>
      </c>
      <c r="AD62" s="163" t="str">
        <v>Yes</v>
      </c>
      <c r="AE62" s="163" t="str">
        <v>FY24 inter</v>
      </c>
      <c r="AF62" s="163" t="str">
        <v>FY25 intra</v>
      </c>
      <c r="AG62" s="157" t="str">
        <v>T. DeYoung</v>
      </c>
      <c r="AH62" s="157">
        <v>44459</v>
      </c>
      <c r="AI62" s="157" t="str">
        <v>D. Tosi</v>
      </c>
      <c r="AJ62" s="157">
        <v>44459</v>
      </c>
      <c r="AK62" s="163" t="str">
        <v xml:space="preserve">Float in PTH due to storage limitation in MSU.
(*) storage in McMurdo pending low temperature test  </v>
      </c>
      <c r="AL62" s="146" t="str">
        <v/>
      </c>
    </row>
    <row r="63" spans="1:40" ht="32.25" customHeight="1">
      <c r="A63" s="147">
        <v>1.4</v>
      </c>
      <c r="B63" s="148" t="str">
        <v>Installation</v>
      </c>
      <c r="C63" s="150" t="str">
        <v>Main (downhole) load members 87-93</v>
      </c>
      <c r="D63" s="150" t="str">
        <v>May be possible to store in McMurdo until drill season - Do Not Deep Freeze</v>
      </c>
      <c r="E63" s="151">
        <v>47</v>
      </c>
      <c r="F63" s="151">
        <v>47</v>
      </c>
      <c r="G63" s="151">
        <v>39</v>
      </c>
      <c r="H63" s="152">
        <v>7</v>
      </c>
      <c r="I63" s="154">
        <v>348.99131944444446</v>
      </c>
      <c r="J63" s="154">
        <v>766</v>
      </c>
      <c r="K63" s="154">
        <v>5362</v>
      </c>
      <c r="L63" s="151" t="str">
        <v>preliminary</v>
      </c>
      <c r="M63" s="178" t="str">
        <v>DNDF[-40C](*)</v>
      </c>
      <c r="N63" s="156" t="str">
        <v>MSU</v>
      </c>
      <c r="O63" s="407">
        <v>14</v>
      </c>
      <c r="P63" s="158">
        <v>45017</v>
      </c>
      <c r="Q63" s="158" t="str">
        <v>MSU - PTH</v>
      </c>
      <c r="R63" s="158">
        <v>45031</v>
      </c>
      <c r="S63" s="160" t="str">
        <v>Truck</v>
      </c>
      <c r="T63" s="160" t="str">
        <v>PTH - MCM</v>
      </c>
      <c r="U63" s="389" t="str">
        <v>-</v>
      </c>
      <c r="V63" s="162" t="str">
        <v>USAP Vessel</v>
      </c>
      <c r="W63" s="162" t="str">
        <v>USAP Vessel</v>
      </c>
      <c r="X63" s="391" t="str">
        <v>-</v>
      </c>
      <c r="Y63" s="169" t="str">
        <v>-</v>
      </c>
      <c r="Z63" s="169">
        <v>45328</v>
      </c>
      <c r="AA63" s="157" t="str">
        <v>-</v>
      </c>
      <c r="AB63" s="157" t="str">
        <v>LC-130/SPoT</v>
      </c>
      <c r="AC63" s="157">
        <v>45627</v>
      </c>
      <c r="AD63" s="163" t="str">
        <v>Yes</v>
      </c>
      <c r="AE63" s="163" t="str">
        <v>FY24 inter</v>
      </c>
      <c r="AF63" s="163" t="str">
        <v>FY25 intra</v>
      </c>
      <c r="AG63" s="157" t="str">
        <v>T. DeYoung</v>
      </c>
      <c r="AH63" s="157">
        <v>44459</v>
      </c>
      <c r="AI63" s="157" t="str">
        <v>D. Tosi</v>
      </c>
      <c r="AJ63" s="157">
        <v>44480</v>
      </c>
      <c r="AK63" s="163" t="str">
        <v>Shipping date synched with main (downhole) cables due to storage limitation in MSU. Float in PTH.</v>
      </c>
      <c r="AL63" s="146" t="str">
        <v/>
      </c>
    </row>
    <row r="64" spans="1:40" ht="40.5" customHeight="1">
      <c r="A64" s="147">
        <v>1.4</v>
      </c>
      <c r="B64" s="148" t="str">
        <v>Installation</v>
      </c>
      <c r="C64" s="150" t="str">
        <v>Main (downhole) cables 87-93</v>
      </c>
      <c r="D64" s="150" t="str">
        <v>May be possible to store in McMurdo until drill season - Do Not Deep Freeze</v>
      </c>
      <c r="E64" s="151">
        <v>96</v>
      </c>
      <c r="F64" s="151">
        <v>96</v>
      </c>
      <c r="G64" s="151">
        <v>96</v>
      </c>
      <c r="H64" s="152">
        <v>7</v>
      </c>
      <c r="I64" s="154">
        <v>3584</v>
      </c>
      <c r="J64" s="154">
        <v>15000</v>
      </c>
      <c r="K64" s="154">
        <v>105000</v>
      </c>
      <c r="L64" s="151" t="str">
        <v>preliminary</v>
      </c>
      <c r="M64" s="178" t="str">
        <v>DNDF[-40C](*)</v>
      </c>
      <c r="N64" s="156" t="str">
        <v>MSU</v>
      </c>
      <c r="O64" s="407">
        <v>14</v>
      </c>
      <c r="P64" s="158">
        <v>45017</v>
      </c>
      <c r="Q64" s="158" t="str">
        <v>MSU - PTH</v>
      </c>
      <c r="R64" s="158">
        <v>45031</v>
      </c>
      <c r="S64" s="160" t="str">
        <v>Truck</v>
      </c>
      <c r="T64" s="160" t="str">
        <v>PTH - MCM</v>
      </c>
      <c r="U64" s="389" t="str">
        <v>-</v>
      </c>
      <c r="V64" s="162" t="str">
        <v>USAP Vessel</v>
      </c>
      <c r="W64" s="162" t="str">
        <v>USAP Vessel</v>
      </c>
      <c r="X64" s="391" t="str">
        <v>-</v>
      </c>
      <c r="Y64" s="169" t="str">
        <v>-</v>
      </c>
      <c r="Z64" s="169">
        <v>45328</v>
      </c>
      <c r="AA64" s="157" t="str">
        <v>-</v>
      </c>
      <c r="AB64" s="157" t="str">
        <v>LC-130/SPoT</v>
      </c>
      <c r="AC64" s="157">
        <v>45627</v>
      </c>
      <c r="AD64" s="163" t="str">
        <v>Yes</v>
      </c>
      <c r="AE64" s="163" t="str">
        <v>FY24 inter</v>
      </c>
      <c r="AF64" s="163" t="str">
        <v>FY25 intra</v>
      </c>
      <c r="AG64" s="157" t="str">
        <v>T. DeYoung</v>
      </c>
      <c r="AH64" s="157">
        <v>44459</v>
      </c>
      <c r="AI64" s="157" t="str">
        <v>D. Tosi</v>
      </c>
      <c r="AJ64" s="157">
        <v>44480</v>
      </c>
      <c r="AK64" s="163" t="str">
        <v>Shipping date chosen to be 2 weeks after scheduled ready to ship date because of storage limitations at MSU. additional 7 months of float at Port Hueneme assuming USAP vessel departure.  (*) storage in McMurdo pending low temperature test.</v>
      </c>
      <c r="AL64" s="146" t="str">
        <v/>
      </c>
    </row>
    <row r="65" spans="1:40" ht="72" customHeight="1">
      <c r="A65" s="165">
        <v>1.3</v>
      </c>
      <c r="B65" s="166" t="str">
        <v>Installation</v>
      </c>
      <c r="C65" s="167" t="str">
        <v>String Sensors 89-93</v>
      </c>
      <c r="D65" s="167" t="str">
        <v>Optical Sensors for 5 strings from MSU (mDOMs) - Do Not Deep Freeze</v>
      </c>
      <c r="E65" s="152">
        <v>40</v>
      </c>
      <c r="F65" s="152">
        <v>48</v>
      </c>
      <c r="G65" s="152">
        <v>46</v>
      </c>
      <c r="H65" s="152">
        <v>25</v>
      </c>
      <c r="I65" s="154">
        <v>1277.7777777777778</v>
      </c>
      <c r="J65" s="154">
        <v>573</v>
      </c>
      <c r="K65" s="154">
        <v>14325</v>
      </c>
      <c r="L65" s="152" t="str">
        <v>actual(**)</v>
      </c>
      <c r="M65" s="168" t="str">
        <v>DNDF [-40C]</v>
      </c>
      <c r="N65" s="156" t="str">
        <v>MSU</v>
      </c>
      <c r="O65" s="407">
        <v>366</v>
      </c>
      <c r="P65" s="158">
        <v>45139</v>
      </c>
      <c r="Q65" s="158" t="str">
        <v>MSU - PTH</v>
      </c>
      <c r="R65" s="158">
        <v>45505</v>
      </c>
      <c r="S65" s="160" t="str">
        <v>Truck</v>
      </c>
      <c r="T65" s="160" t="str">
        <v>PTH - CHC</v>
      </c>
      <c r="U65" s="389" t="str">
        <v>-</v>
      </c>
      <c r="V65" s="162" t="str">
        <v>ComSur</v>
      </c>
      <c r="W65" s="162" t="str">
        <v>CHC - MCM</v>
      </c>
      <c r="X65" s="391" t="str">
        <v>-</v>
      </c>
      <c r="Y65" s="157" t="str">
        <v>USAP Air</v>
      </c>
      <c r="Z65" s="169">
        <v>45597</v>
      </c>
      <c r="AA65" s="157" t="str">
        <v>-</v>
      </c>
      <c r="AB65" s="157" t="str">
        <v>LC-130</v>
      </c>
      <c r="AC65" s="157">
        <v>45621</v>
      </c>
      <c r="AD65" s="163" t="str">
        <v>Yes</v>
      </c>
      <c r="AE65" s="163" t="str">
        <v>FY25 inter</v>
      </c>
      <c r="AF65" s="163" t="str">
        <v>FY25 intra</v>
      </c>
      <c r="AG65" s="157" t="str">
        <v>T. Karg</v>
      </c>
      <c r="AH65" s="157">
        <v>44459</v>
      </c>
      <c r="AI65" s="157" t="str">
        <v>D. Tosi</v>
      </c>
      <c r="AJ65" s="157">
        <v>44461</v>
      </c>
      <c r="AK65" s="163" t="str">
        <v>mDOM weight is 28 kg/boxed + 35kg pallet, assume 8 mDOMs/pallet (189 to be deployed + 11 spares)(*)Assumed to be shipped in 2x20' HC  (5115 lbs, 238inx96inx114in) or a 40 ft HC, purchased by MSU or loaned in PTH (container weight not included)</v>
      </c>
      <c r="AL65" s="146" t="str">
        <v/>
      </c>
    </row>
    <row r="66" spans="1:40" ht="51">
      <c r="A66" s="165">
        <v>1.3</v>
      </c>
      <c r="B66" s="166" t="str">
        <v>Installation</v>
      </c>
      <c r="C66" s="167" t="str">
        <v>String Sensors 89-93</v>
      </c>
      <c r="D66" s="167" t="str">
        <v>Optical Sensors for 5 strings from MSU (mDOMs) containers (TBD) - Do Not Deep Freeze</v>
      </c>
      <c r="E66" s="152">
        <v>238</v>
      </c>
      <c r="F66" s="152">
        <v>96</v>
      </c>
      <c r="G66" s="152">
        <v>114</v>
      </c>
      <c r="H66" s="152">
        <v>0</v>
      </c>
      <c r="I66" s="154">
        <v>0</v>
      </c>
      <c r="J66" s="154">
        <v>5115</v>
      </c>
      <c r="K66" s="154">
        <v>0</v>
      </c>
      <c r="L66" s="152" t="str">
        <v>actual(**)</v>
      </c>
      <c r="M66" s="168" t="str">
        <v>DNDF [-40C]</v>
      </c>
      <c r="N66" s="156" t="str">
        <v>MSU</v>
      </c>
      <c r="O66" s="407">
        <v>366</v>
      </c>
      <c r="P66" s="158">
        <v>45139</v>
      </c>
      <c r="Q66" s="158" t="str">
        <v>MSU - PTH</v>
      </c>
      <c r="R66" s="158">
        <v>45505</v>
      </c>
      <c r="S66" s="160" t="str">
        <v>Truck</v>
      </c>
      <c r="T66" s="160" t="str">
        <v>PTH - CHC</v>
      </c>
      <c r="U66" s="389" t="str">
        <v>-</v>
      </c>
      <c r="V66" s="162" t="str">
        <v>ComSur</v>
      </c>
      <c r="W66" s="162" t="str">
        <v>CHC - MCM</v>
      </c>
      <c r="X66" s="391" t="str">
        <v>-</v>
      </c>
      <c r="Y66" s="157" t="str">
        <v>USAP Air</v>
      </c>
      <c r="Z66" s="169">
        <v>45597</v>
      </c>
      <c r="AA66" s="157" t="str">
        <v>-</v>
      </c>
      <c r="AB66" s="157" t="str">
        <v>LC-130</v>
      </c>
      <c r="AC66" s="157">
        <v>45621</v>
      </c>
      <c r="AD66" s="163" t="str">
        <v>Yes</v>
      </c>
      <c r="AE66" s="163" t="str">
        <v>FY25 inter</v>
      </c>
      <c r="AF66" s="163" t="str">
        <v>FY25 intra</v>
      </c>
      <c r="AG66" s="157" t="str">
        <v>T. Karg</v>
      </c>
      <c r="AH66" s="157">
        <v>44459</v>
      </c>
      <c r="AI66" s="157" t="str">
        <v>D. Tosi</v>
      </c>
      <c r="AJ66" s="157">
        <v>44461</v>
      </c>
      <c r="AK66" s="163" t="str">
        <v>Assume 2x20HC containers for transport on COMSUR (TBC). Pallets could be loaded to 53 ft truck and loaded into a loaned container in PTH but this would increase touch points (and risk)</v>
      </c>
      <c r="AL66" s="146"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customHeight="1">
      <c r="A68" s="165">
        <v>1.3</v>
      </c>
      <c r="B68" s="166" t="str">
        <v>Installation</v>
      </c>
      <c r="C68" s="167" t="str">
        <v>DM-Ice</v>
      </c>
      <c r="D68" s="167" t="str">
        <v>DM-ice (two modules for string 89 and 90) - Do Not Deep Freeze</v>
      </c>
      <c r="E68" s="152">
        <v>48</v>
      </c>
      <c r="F68" s="152">
        <v>48</v>
      </c>
      <c r="G68" s="152">
        <v>48</v>
      </c>
      <c r="H68" s="152">
        <v>1</v>
      </c>
      <c r="I68" s="154">
        <v>64</v>
      </c>
      <c r="J68" s="154">
        <v>1500</v>
      </c>
      <c r="K68" s="154">
        <v>1500</v>
      </c>
      <c r="L68" s="152" t="str">
        <v>estimated</v>
      </c>
      <c r="M68" s="168" t="str">
        <v>DNDF [-40C]</v>
      </c>
      <c r="N68" s="156" t="str">
        <v>Yale</v>
      </c>
      <c r="O68" s="407">
        <v>61</v>
      </c>
      <c r="P68" s="158">
        <v>45444</v>
      </c>
      <c r="Q68" s="158" t="str">
        <v>Yale - PTH</v>
      </c>
      <c r="R68" s="158">
        <v>45505</v>
      </c>
      <c r="S68" s="160" t="str">
        <v>Truck</v>
      </c>
      <c r="T68" s="160" t="str">
        <v>PTH - CHC</v>
      </c>
      <c r="U68" s="389" t="str">
        <v>-</v>
      </c>
      <c r="V68" s="162" t="str">
        <v>ComSur</v>
      </c>
      <c r="W68" s="162" t="str">
        <v>CHC - MCM</v>
      </c>
      <c r="X68" s="391" t="str">
        <v>-</v>
      </c>
      <c r="Y68" s="157" t="str">
        <v>USAP Air</v>
      </c>
      <c r="Z68" s="169">
        <v>45597</v>
      </c>
      <c r="AA68" s="157" t="str">
        <v>-</v>
      </c>
      <c r="AB68" s="157" t="str">
        <v>LC-130</v>
      </c>
      <c r="AC68" s="157">
        <v>45621</v>
      </c>
      <c r="AD68" s="163" t="str">
        <v>Yes</v>
      </c>
      <c r="AE68" s="163" t="str">
        <v>FY25 inter</v>
      </c>
      <c r="AF68" s="163" t="str">
        <v>FY25 intra</v>
      </c>
      <c r="AG68" s="157" t="str">
        <v>M. Kauer</v>
      </c>
      <c r="AH68" s="157">
        <v>44459</v>
      </c>
      <c r="AI68" s="157" t="str">
        <v>D. Tosi</v>
      </c>
      <c r="AJ68" s="157">
        <v>44459</v>
      </c>
      <c r="AK68" s="163" t="str">
        <v/>
      </c>
      <c r="AL68" s="146"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s="9" customFormat="1" ht="68.099999999999994" hidden="1">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35">
        <v>122</v>
      </c>
      <c r="P70" s="428">
        <v>45017</v>
      </c>
      <c r="Q70" s="429" t="str">
        <v>DESY - CHC</v>
      </c>
      <c r="R70" s="428">
        <v>45139</v>
      </c>
      <c r="S70" s="431" t="str">
        <v>ComSur</v>
      </c>
      <c r="T70" s="431" t="str">
        <v>DESY-CHC</v>
      </c>
      <c r="U70" s="431" t="str">
        <v>-</v>
      </c>
      <c r="V70" s="433" t="str">
        <v>ComSur</v>
      </c>
      <c r="W70" s="433" t="str">
        <v>CHC - MCM</v>
      </c>
      <c r="X70" s="433" t="str">
        <v>-</v>
      </c>
      <c r="Y70" s="435" t="str">
        <v>USAP  Air</v>
      </c>
      <c r="Z70" s="434">
        <v>45231</v>
      </c>
      <c r="AA70" s="427" t="str">
        <v>-</v>
      </c>
      <c r="AB70" s="435" t="str">
        <v>LC-130</v>
      </c>
      <c r="AC70" s="409">
        <v>45306</v>
      </c>
      <c r="AD70" s="409" t="str">
        <v>Yes</v>
      </c>
      <c r="AE70" s="409" t="str">
        <v>FY24 inter</v>
      </c>
      <c r="AF70" s="409" t="str">
        <v>FY24 intra</v>
      </c>
      <c r="AG70" s="409" t="str">
        <v>T. Karg</v>
      </c>
      <c r="AH70" s="409">
        <v>44459</v>
      </c>
      <c r="AI70" s="409" t="str">
        <v>D. Tosi</v>
      </c>
      <c r="AJ70" s="409">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s="9" customFormat="1" ht="68.099999999999994" hidden="1">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35">
        <v>122</v>
      </c>
      <c r="P71" s="428">
        <v>45017</v>
      </c>
      <c r="Q71" s="429" t="str">
        <v>DESY - CHC</v>
      </c>
      <c r="R71" s="428">
        <v>45139</v>
      </c>
      <c r="S71" s="431" t="str">
        <v>ComSur</v>
      </c>
      <c r="T71" s="431" t="str">
        <v>DESY-CHC</v>
      </c>
      <c r="U71" s="431" t="str">
        <v>-</v>
      </c>
      <c r="V71" s="433" t="str">
        <v>ComSur</v>
      </c>
      <c r="W71" s="433" t="str">
        <v>CHC - MCM</v>
      </c>
      <c r="X71" s="433" t="str">
        <v>-</v>
      </c>
      <c r="Y71" s="435" t="str">
        <v>USAP  Air</v>
      </c>
      <c r="Z71" s="434">
        <v>45231</v>
      </c>
      <c r="AA71" s="427" t="str">
        <v>-</v>
      </c>
      <c r="AB71" s="435" t="str">
        <v>LC-130</v>
      </c>
      <c r="AC71" s="409">
        <v>45306</v>
      </c>
      <c r="AD71" s="409" t="str">
        <v>Yes</v>
      </c>
      <c r="AE71" s="409" t="str">
        <v>FY24 inter</v>
      </c>
      <c r="AF71" s="409" t="str">
        <v>FY24 intra</v>
      </c>
      <c r="AG71" s="409" t="str">
        <v>T. Karg</v>
      </c>
      <c r="AH71" s="409">
        <v>44459</v>
      </c>
      <c r="AI71" s="409" t="str">
        <v>D. Tosi</v>
      </c>
      <c r="AJ71" s="409">
        <v>44461</v>
      </c>
      <c r="AK71" s="409" t="str">
        <v>mDOM weight is 62 lbs (25kg/sensor + 3 kg/box) + 35kg pallet, assume 8 mDOMs/pallet - shipped in 20 HC container. Container weight not included in the assumption that pallet will be taken out in CHC.</v>
      </c>
      <c r="AL71" s="9" t="str">
        <v/>
      </c>
    </row>
    <row r="72" spans="1:40" s="9" customFormat="1" ht="33.950000000000003" hidden="1">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35">
        <v>212</v>
      </c>
      <c r="P72" s="428">
        <v>44927</v>
      </c>
      <c r="Q72" s="429" t="str">
        <v>DESY - CHC</v>
      </c>
      <c r="R72" s="428">
        <v>45139</v>
      </c>
      <c r="S72" s="431" t="str">
        <v>ComSur</v>
      </c>
      <c r="T72" s="431" t="str">
        <v>DESY-CHC</v>
      </c>
      <c r="U72" s="431" t="str">
        <v>-</v>
      </c>
      <c r="V72" s="433" t="str">
        <v>ComSur</v>
      </c>
      <c r="W72" s="433" t="str">
        <v>CHC - MCM</v>
      </c>
      <c r="X72" s="433" t="str">
        <v>-</v>
      </c>
      <c r="Y72" s="435" t="str">
        <v>USAP  Air</v>
      </c>
      <c r="Z72" s="434">
        <v>45231</v>
      </c>
      <c r="AA72" s="427" t="str">
        <v>-</v>
      </c>
      <c r="AB72" s="435" t="str">
        <v>LC-130</v>
      </c>
      <c r="AC72" s="409">
        <v>45306</v>
      </c>
      <c r="AD72" s="409" t="str">
        <v>Yes</v>
      </c>
      <c r="AE72" s="409" t="str">
        <v>FY24 inter</v>
      </c>
      <c r="AF72" s="409" t="str">
        <v>FY24 intra</v>
      </c>
      <c r="AG72" s="409" t="str">
        <v>S. Boeser</v>
      </c>
      <c r="AH72" s="409">
        <v>44482</v>
      </c>
      <c r="AI72" s="409" t="str">
        <v>D. Tosi</v>
      </c>
      <c r="AJ72" s="409">
        <v>44482</v>
      </c>
      <c r="AK72" s="409" t="str">
        <v xml:space="preserve">8 WOMs (no spares) - AH not included for now. Assume 150 lbs crate.  </v>
      </c>
      <c r="AL72" s="9" t="str">
        <v/>
      </c>
    </row>
    <row r="73" spans="1:40" s="9" customFormat="1" ht="33.950000000000003" hidden="1">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35">
        <v>426</v>
      </c>
      <c r="P73" s="428">
        <v>44713</v>
      </c>
      <c r="Q73" s="429" t="str">
        <v>DESY - CHC</v>
      </c>
      <c r="R73" s="428">
        <v>45139</v>
      </c>
      <c r="S73" s="431" t="str">
        <v>ComSur</v>
      </c>
      <c r="T73" s="431" t="str">
        <v>DESY-CHC</v>
      </c>
      <c r="U73" s="431" t="str">
        <v>-</v>
      </c>
      <c r="V73" s="433" t="str">
        <v>ComSur</v>
      </c>
      <c r="W73" s="433" t="str">
        <v>CHC-MCM</v>
      </c>
      <c r="X73" s="433" t="str">
        <v>-</v>
      </c>
      <c r="Y73" s="435" t="str">
        <v>USAP  Air</v>
      </c>
      <c r="Z73" s="434">
        <v>45231</v>
      </c>
      <c r="AA73" s="427" t="str">
        <v>-</v>
      </c>
      <c r="AB73" s="435" t="str">
        <v>LC-130</v>
      </c>
      <c r="AC73" s="409">
        <v>45306</v>
      </c>
      <c r="AD73" s="409" t="str">
        <v>Yes</v>
      </c>
      <c r="AE73" s="409" t="str">
        <v>FY24 inter</v>
      </c>
      <c r="AF73" s="409" t="str">
        <v>FY24 intra</v>
      </c>
      <c r="AG73" s="409" t="str">
        <v>D. Williams</v>
      </c>
      <c r="AH73" s="409">
        <v>44482</v>
      </c>
      <c r="AI73" s="409" t="str">
        <v>D. Tosi</v>
      </c>
      <c r="AJ73" s="409">
        <v>44482</v>
      </c>
      <c r="AK73" s="409" t="str">
        <v>Calibration devices for strings 87-88 = 2+1 Sweden Camera + 3+1 Acoustic Module + 4+1 POCAM, including spares, 200 lbs crate</v>
      </c>
      <c r="AL73" s="9" t="str">
        <v/>
      </c>
    </row>
    <row r="74" spans="1:40" s="9" customFormat="1" ht="33.950000000000003" hidden="1">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35">
        <v>14</v>
      </c>
      <c r="P74" s="428">
        <v>45139</v>
      </c>
      <c r="Q74" s="429" t="str">
        <v>DESY - CHC</v>
      </c>
      <c r="R74" s="428">
        <v>45153</v>
      </c>
      <c r="S74" s="431" t="str">
        <v>ComSur</v>
      </c>
      <c r="T74" s="431" t="str">
        <v>DESY-CHC</v>
      </c>
      <c r="U74" s="431" t="str">
        <v>-</v>
      </c>
      <c r="V74" s="433" t="str">
        <v>ComSur</v>
      </c>
      <c r="W74" s="433" t="str">
        <v>CHC-MCM</v>
      </c>
      <c r="X74" s="433" t="str">
        <v>-</v>
      </c>
      <c r="Y74" s="435" t="str">
        <v>USAP  Air</v>
      </c>
      <c r="Z74" s="434">
        <v>45231</v>
      </c>
      <c r="AA74" s="427" t="str">
        <v>-</v>
      </c>
      <c r="AB74" s="435" t="str">
        <v>LC-130</v>
      </c>
      <c r="AC74" s="409">
        <v>45261</v>
      </c>
      <c r="AD74" s="409" t="str">
        <v>No</v>
      </c>
      <c r="AE74" s="409" t="str">
        <v>FY24 inter</v>
      </c>
      <c r="AF74" s="500" t="str">
        <v>FY24 intra</v>
      </c>
      <c r="AG74" s="500" t="str">
        <v>J. Kelley</v>
      </c>
      <c r="AH74" s="500">
        <v>44482</v>
      </c>
      <c r="AI74" s="500" t="str">
        <v>D. Tosi</v>
      </c>
      <c r="AJ74" s="409">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c r="A75" s="165">
        <v>1.3</v>
      </c>
      <c r="B75" s="166" t="str">
        <v>Installation</v>
      </c>
      <c r="C75" s="167" t="str">
        <v>String Sensors 89-93</v>
      </c>
      <c r="D75" s="167" t="str">
        <v>Optical sensors for 5 strings from Germany (mDOMs) - Do Not Deep Freeze</v>
      </c>
      <c r="E75" s="152">
        <v>40</v>
      </c>
      <c r="F75" s="152">
        <v>48</v>
      </c>
      <c r="G75" s="152">
        <v>46</v>
      </c>
      <c r="H75" s="152">
        <v>12</v>
      </c>
      <c r="I75" s="154">
        <v>613.33333333333337</v>
      </c>
      <c r="J75" s="154">
        <v>573</v>
      </c>
      <c r="K75" s="154">
        <v>6876</v>
      </c>
      <c r="L75" s="152" t="str">
        <v>actual(**)</v>
      </c>
      <c r="M75" s="168" t="str">
        <v>DNDF [-40C]</v>
      </c>
      <c r="N75" s="156" t="str">
        <v>DESY</v>
      </c>
      <c r="O75" s="407">
        <v>397</v>
      </c>
      <c r="P75" s="158">
        <v>45108</v>
      </c>
      <c r="Q75" s="158" t="str">
        <v>DESY - CHC</v>
      </c>
      <c r="R75" s="158">
        <v>45505</v>
      </c>
      <c r="S75" s="160" t="str">
        <v>ComSur</v>
      </c>
      <c r="T75" s="160" t="str">
        <v>DESY-CHC</v>
      </c>
      <c r="U75" s="389" t="str">
        <v>-</v>
      </c>
      <c r="V75" s="162" t="str">
        <v>ComSur</v>
      </c>
      <c r="W75" s="162" t="str">
        <v>CHC - MCM</v>
      </c>
      <c r="X75" s="391" t="str">
        <v>-</v>
      </c>
      <c r="Y75" s="157" t="str">
        <v>USAP  Air</v>
      </c>
      <c r="Z75" s="169">
        <v>45597</v>
      </c>
      <c r="AA75" s="157" t="str">
        <v>-</v>
      </c>
      <c r="AB75" s="157" t="str">
        <v>LC-130</v>
      </c>
      <c r="AC75" s="157">
        <v>45621</v>
      </c>
      <c r="AD75" s="163" t="str">
        <v>Yes</v>
      </c>
      <c r="AE75" s="163" t="str">
        <v>FY25 inter</v>
      </c>
      <c r="AF75" s="163" t="str">
        <v>FY25 intra</v>
      </c>
      <c r="AG75" s="157" t="str">
        <v>T. Karg</v>
      </c>
      <c r="AH75" s="157">
        <v>44459</v>
      </c>
      <c r="AI75" s="157" t="str">
        <v>D. Tosi</v>
      </c>
      <c r="AJ75" s="157">
        <v>44461</v>
      </c>
      <c r="AK75" s="163" t="str">
        <v>mDOM weight is (28kg/sensor boxed) + 35kg pallet, assume 8 mDOMs/pallet - 190 to be deployed + 10 spares. (**) shipped in 20 HC container. Container not included in weight as pallets will be taken out.</v>
      </c>
      <c r="AL75" s="146" t="str">
        <v/>
      </c>
    </row>
    <row r="76" spans="1:40" ht="33.950000000000003">
      <c r="A76" s="165">
        <v>1.3</v>
      </c>
      <c r="B76" s="166" t="str">
        <v>Installation</v>
      </c>
      <c r="C76" s="167" t="str">
        <v>Special Devices 89-93</v>
      </c>
      <c r="D76" s="167" t="str">
        <v>Special devices for 5 remaining strings from DESY/Germany/Sweden (6 WOMs,  3 Abalone Hubs or WOM Traps)  no spares - Do Not Deep Freeze</v>
      </c>
      <c r="E76" s="152">
        <v>32</v>
      </c>
      <c r="F76" s="152">
        <v>31</v>
      </c>
      <c r="G76" s="152">
        <v>89</v>
      </c>
      <c r="H76" s="152">
        <v>1</v>
      </c>
      <c r="I76" s="154">
        <v>51.092592592592595</v>
      </c>
      <c r="J76" s="154">
        <v>1035</v>
      </c>
      <c r="K76" s="154">
        <v>1035</v>
      </c>
      <c r="L76" s="152" t="str">
        <v>preliminary</v>
      </c>
      <c r="M76" s="176" t="str">
        <v>DNDF [-40C]</v>
      </c>
      <c r="N76" s="156" t="str">
        <v>Mainz</v>
      </c>
      <c r="O76" s="407">
        <v>213</v>
      </c>
      <c r="P76" s="158">
        <v>45292</v>
      </c>
      <c r="Q76" s="158" t="str">
        <v>DESY - CHC</v>
      </c>
      <c r="R76" s="158">
        <v>45505</v>
      </c>
      <c r="S76" s="160" t="str">
        <v>ComSur</v>
      </c>
      <c r="T76" s="160" t="str">
        <v>DESY-CHC</v>
      </c>
      <c r="U76" s="389" t="str">
        <v>-</v>
      </c>
      <c r="V76" s="162" t="str">
        <v>ComSur</v>
      </c>
      <c r="W76" s="162" t="str">
        <v>CHC - MCM</v>
      </c>
      <c r="X76" s="391" t="str">
        <v>-</v>
      </c>
      <c r="Y76" s="157" t="str">
        <v>USAP  Air</v>
      </c>
      <c r="Z76" s="169">
        <v>45597</v>
      </c>
      <c r="AA76" s="157" t="str">
        <v>-</v>
      </c>
      <c r="AB76" s="157" t="str">
        <v>LC-130</v>
      </c>
      <c r="AC76" s="157">
        <v>45621</v>
      </c>
      <c r="AD76" s="163" t="str">
        <v>Yes</v>
      </c>
      <c r="AE76" s="163" t="str">
        <v>FY25 inter</v>
      </c>
      <c r="AF76" s="163" t="str">
        <v>FY25 intra</v>
      </c>
      <c r="AG76" s="157" t="str">
        <v>S. Boeser</v>
      </c>
      <c r="AH76" s="157">
        <v>44482</v>
      </c>
      <c r="AI76" s="157" t="str">
        <v>D. Tosi</v>
      </c>
      <c r="AJ76" s="157">
        <v>44482</v>
      </c>
      <c r="AK76" s="163" t="str">
        <v>6 Special Devices from Germany 6 (WOM + 0 AH) including 0 spare for each. Assume 170 lbs crate.</v>
      </c>
      <c r="AL76" s="146" t="str">
        <v/>
      </c>
    </row>
    <row r="77" spans="1:40" ht="50.25" customHeight="1">
      <c r="A77" s="165">
        <v>1.5</v>
      </c>
      <c r="B77" s="166" t="str">
        <v>Installation</v>
      </c>
      <c r="C77" s="167" t="str">
        <v>Calibration Devices 89-93</v>
      </c>
      <c r="D77" s="167" t="str">
        <v>Calibration for 5 strings from DESY/Germany/Sweden (17+2 POCAMs, 7+ 1 Acoustic sensors,  3+ 1 Swedish Cameras) including spares - Do Not Deep Freeze</v>
      </c>
      <c r="E77" s="180">
        <v>62</v>
      </c>
      <c r="F77" s="180">
        <v>48</v>
      </c>
      <c r="G77" s="180">
        <v>44</v>
      </c>
      <c r="H77" s="152">
        <v>1</v>
      </c>
      <c r="I77" s="154">
        <v>75.777777777777771</v>
      </c>
      <c r="J77" s="154">
        <v>1694</v>
      </c>
      <c r="K77" s="154">
        <v>1694</v>
      </c>
      <c r="L77" s="152" t="str">
        <v>preliminary</v>
      </c>
      <c r="M77" s="168" t="str">
        <v>DNDF [-40C]</v>
      </c>
      <c r="N77" s="156" t="str">
        <v>TUM/Aachen/Sweden</v>
      </c>
      <c r="O77" s="407">
        <v>792</v>
      </c>
      <c r="P77" s="158">
        <v>44713</v>
      </c>
      <c r="Q77" s="158" t="str">
        <v>DESY - CHC</v>
      </c>
      <c r="R77" s="158">
        <v>45505</v>
      </c>
      <c r="S77" s="160" t="str">
        <v>ComSur</v>
      </c>
      <c r="T77" s="160" t="str">
        <v>DESY-CHC</v>
      </c>
      <c r="U77" s="389" t="str">
        <v>-</v>
      </c>
      <c r="V77" s="162" t="str">
        <v>ComSur</v>
      </c>
      <c r="W77" s="162" t="str">
        <v>CHC-MCM</v>
      </c>
      <c r="X77" s="391" t="str">
        <v>-</v>
      </c>
      <c r="Y77" s="157" t="str">
        <v>USAP  Air</v>
      </c>
      <c r="Z77" s="169">
        <v>45597</v>
      </c>
      <c r="AA77" s="157" t="str">
        <v>-</v>
      </c>
      <c r="AB77" s="157" t="str">
        <v>LC-130</v>
      </c>
      <c r="AC77" s="157">
        <v>45621</v>
      </c>
      <c r="AD77" s="163" t="str">
        <v>Yes</v>
      </c>
      <c r="AE77" s="163" t="str">
        <v>FY25 inter</v>
      </c>
      <c r="AF77" s="163" t="str">
        <v>FY25 intra</v>
      </c>
      <c r="AG77" s="157" t="str">
        <v>D. Williams</v>
      </c>
      <c r="AH77" s="157">
        <v>44482</v>
      </c>
      <c r="AI77" s="157" t="str">
        <v>D. Tosi</v>
      </c>
      <c r="AJ77" s="157">
        <v>44482</v>
      </c>
      <c r="AK77" s="163" t="str">
        <v>Calibration devices for strings 89-93 = 3+1 Sweden Camera,7+1 + Acoustic Module,17 +1 POCAM, including spares, 200 lbs crate</v>
      </c>
      <c r="AL77" s="146"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s="9" customFormat="1" ht="51" hidden="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35">
        <v>426</v>
      </c>
      <c r="P79" s="428">
        <v>44713</v>
      </c>
      <c r="Q79" s="429" t="str">
        <v>ChibaU - CHC</v>
      </c>
      <c r="R79" s="428">
        <v>45139</v>
      </c>
      <c r="S79" s="431" t="str">
        <v>Cargo shipment by CHU</v>
      </c>
      <c r="T79" s="431" t="str">
        <v>ChibaU - CHC</v>
      </c>
      <c r="U79" s="431" t="str">
        <v>-</v>
      </c>
      <c r="V79" s="433" t="str">
        <v>ComSur</v>
      </c>
      <c r="W79" s="76" t="str">
        <v>CHC - MCM</v>
      </c>
      <c r="X79" s="433" t="str">
        <v>-</v>
      </c>
      <c r="Y79" s="435" t="str">
        <v>USAP Air</v>
      </c>
      <c r="Z79" s="434">
        <v>45231</v>
      </c>
      <c r="AA79" s="427" t="str">
        <v>-</v>
      </c>
      <c r="AB79" s="435" t="str">
        <v>LC-130</v>
      </c>
      <c r="AC79" s="409">
        <v>45306</v>
      </c>
      <c r="AD79" s="409" t="str">
        <v>Yes</v>
      </c>
      <c r="AE79" s="409" t="str">
        <v>FY24 inter</v>
      </c>
      <c r="AF79" s="409" t="str">
        <v>FY24 intra</v>
      </c>
      <c r="AG79" s="409" t="str">
        <v>S. Yoshida</v>
      </c>
      <c r="AH79" s="409">
        <v>44461</v>
      </c>
      <c r="AI79" s="409" t="str">
        <v>D. Tosi</v>
      </c>
      <c r="AJ79" s="409">
        <v>44461</v>
      </c>
      <c r="AK79" s="409" t="str">
        <v>Pallet sizes are under review. shipped in 20 and 40ft container. Container weight not included in the assumption that pallet will be taken out in CHC.</v>
      </c>
      <c r="AL79" s="9" t="str">
        <v/>
      </c>
    </row>
    <row r="80" spans="1:40" s="9" customFormat="1" ht="51" hidden="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35">
        <v>426</v>
      </c>
      <c r="P80" s="428">
        <v>44713</v>
      </c>
      <c r="Q80" s="429" t="str">
        <v>ChibaU - CHC</v>
      </c>
      <c r="R80" s="428">
        <v>45139</v>
      </c>
      <c r="S80" s="431" t="str">
        <v>Cargo shipment by CHU</v>
      </c>
      <c r="T80" s="431" t="str">
        <v>ChibaU - CHC</v>
      </c>
      <c r="U80" s="431" t="str">
        <v>-</v>
      </c>
      <c r="V80" s="433" t="str">
        <v>ComSur</v>
      </c>
      <c r="W80" s="76" t="str">
        <v>CHC - MCM</v>
      </c>
      <c r="X80" s="433" t="str">
        <v>-</v>
      </c>
      <c r="Y80" s="435" t="str">
        <v>USAP Air</v>
      </c>
      <c r="Z80" s="434">
        <v>45231</v>
      </c>
      <c r="AA80" s="427" t="str">
        <v>-</v>
      </c>
      <c r="AB80" s="435" t="str">
        <v>LC-130</v>
      </c>
      <c r="AC80" s="409">
        <v>45306</v>
      </c>
      <c r="AD80" s="409" t="str">
        <v>Yes</v>
      </c>
      <c r="AE80" s="409" t="str">
        <v>FY24 inter</v>
      </c>
      <c r="AF80" s="409" t="str">
        <v>FY24 intra</v>
      </c>
      <c r="AG80" s="409" t="str">
        <v>S. Yoshida</v>
      </c>
      <c r="AH80" s="409">
        <v>44461</v>
      </c>
      <c r="AI80" s="409" t="str">
        <v>D. Tosi</v>
      </c>
      <c r="AJ80" s="409">
        <v>44461</v>
      </c>
      <c r="AK80" s="409" t="str">
        <v>Pallet sizes are under review. SPARES number to be confirmed.  shipped in 20 and 40ft container. Container weight not included in the assumption that pallet will be taken out in CHC.</v>
      </c>
      <c r="AL80" s="9" t="str">
        <v/>
      </c>
    </row>
    <row r="81" spans="1:40" s="9" customFormat="1" ht="51" hidden="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35">
        <v>426</v>
      </c>
      <c r="P81" s="428">
        <v>44713</v>
      </c>
      <c r="Q81" s="429" t="str">
        <v>ChibaU - CHC</v>
      </c>
      <c r="R81" s="428">
        <v>45139</v>
      </c>
      <c r="S81" s="431" t="str">
        <v>Cargo shipment by CHU</v>
      </c>
      <c r="T81" s="431" t="str">
        <v>ChibaU - CHC</v>
      </c>
      <c r="U81" s="431" t="str">
        <v>-</v>
      </c>
      <c r="V81" s="433" t="str">
        <v>ComSur</v>
      </c>
      <c r="W81" s="76" t="str">
        <v>CHC - MCM</v>
      </c>
      <c r="X81" s="433" t="str">
        <v>-</v>
      </c>
      <c r="Y81" s="435" t="str">
        <v>USAP Air</v>
      </c>
      <c r="Z81" s="434">
        <v>45231</v>
      </c>
      <c r="AA81" s="427" t="str">
        <v>-</v>
      </c>
      <c r="AB81" s="435" t="str">
        <v>LC-130</v>
      </c>
      <c r="AC81" s="409">
        <v>45306</v>
      </c>
      <c r="AD81" s="409" t="str">
        <v>Yes</v>
      </c>
      <c r="AE81" s="409" t="str">
        <v>FY24 inter</v>
      </c>
      <c r="AF81" s="409" t="str">
        <v>FY24 intra</v>
      </c>
      <c r="AG81" s="409" t="str">
        <v>S. Yoshida</v>
      </c>
      <c r="AH81" s="409">
        <v>44461</v>
      </c>
      <c r="AI81" s="409" t="str">
        <v>D. Tosi</v>
      </c>
      <c r="AJ81" s="409">
        <v>44461</v>
      </c>
      <c r="AK81" s="409" t="str">
        <v>Pallet sizes are under review. shipped in 20 and 40ft container. Container weight not included in the assumption that pallet will be taken out in CHC.</v>
      </c>
      <c r="AL81" s="9" t="str">
        <v/>
      </c>
    </row>
    <row r="82" spans="1:40" s="9" customFormat="1" ht="51" hidden="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35">
        <v>426</v>
      </c>
      <c r="P82" s="428">
        <v>44713</v>
      </c>
      <c r="Q82" s="429" t="str">
        <v>ChibaU - CHC</v>
      </c>
      <c r="R82" s="428">
        <v>45139</v>
      </c>
      <c r="S82" s="431" t="str">
        <v>Cargo shipment by CHU</v>
      </c>
      <c r="T82" s="431" t="str">
        <v>ChibaU - CHC</v>
      </c>
      <c r="U82" s="431" t="str">
        <v>-</v>
      </c>
      <c r="V82" s="433" t="str">
        <v>ComSur</v>
      </c>
      <c r="W82" s="76" t="str">
        <v>CHC - MCM</v>
      </c>
      <c r="X82" s="433" t="str">
        <v>-</v>
      </c>
      <c r="Y82" s="435" t="str">
        <v>USAP Air</v>
      </c>
      <c r="Z82" s="434">
        <v>45231</v>
      </c>
      <c r="AA82" s="427" t="str">
        <v>-</v>
      </c>
      <c r="AB82" s="435" t="str">
        <v>LC-130</v>
      </c>
      <c r="AC82" s="409">
        <v>45306</v>
      </c>
      <c r="AD82" s="409" t="str">
        <v>Yes</v>
      </c>
      <c r="AE82" s="409" t="str">
        <v>FY24 inter</v>
      </c>
      <c r="AF82" s="409" t="str">
        <v>FY24 intra</v>
      </c>
      <c r="AG82" s="409" t="str">
        <v>S. Yoshida</v>
      </c>
      <c r="AH82" s="409">
        <v>44461</v>
      </c>
      <c r="AI82" s="409" t="str">
        <v>D. Tosi</v>
      </c>
      <c r="AJ82" s="409">
        <v>44461</v>
      </c>
      <c r="AK82" s="409" t="str">
        <v>Pallet sizes are under review. SPARES number to be confirmed. shipped in 20 and 40ft container. Container weight not included in the assumption that pallet will be taken out in CHC.</v>
      </c>
      <c r="AL82" s="9" t="str">
        <v/>
      </c>
    </row>
    <row r="83" spans="1:40" ht="51">
      <c r="A83" s="181">
        <v>1.3</v>
      </c>
      <c r="B83" s="166" t="str">
        <v>Installation</v>
      </c>
      <c r="C83" s="164" t="str">
        <v>String Sensors 89-93</v>
      </c>
      <c r="D83" s="164" t="str">
        <v>Sensors (D-Eggs) pallets with 8 sensors in McMurdo overwinter - Do Not Deep Freeze</v>
      </c>
      <c r="E83" s="176">
        <v>41</v>
      </c>
      <c r="F83" s="176">
        <v>41</v>
      </c>
      <c r="G83" s="176">
        <v>69</v>
      </c>
      <c r="H83" s="176">
        <v>10</v>
      </c>
      <c r="I83" s="154">
        <v>671.23263888888891</v>
      </c>
      <c r="J83" s="154">
        <v>750</v>
      </c>
      <c r="K83" s="154">
        <v>7500</v>
      </c>
      <c r="L83" s="152" t="str">
        <v>actual</v>
      </c>
      <c r="M83" s="168" t="str">
        <v>DNDF [-40C]</v>
      </c>
      <c r="N83" s="156" t="str">
        <v>Chiba</v>
      </c>
      <c r="O83" s="407">
        <v>61</v>
      </c>
      <c r="P83" s="158">
        <v>45078</v>
      </c>
      <c r="Q83" s="158" t="str">
        <v>ChibaU - CHC</v>
      </c>
      <c r="R83" s="158">
        <v>45139</v>
      </c>
      <c r="S83" s="160" t="str">
        <v>Cargo shipment by CHU</v>
      </c>
      <c r="T83" s="160" t="str">
        <v>ChibaU - CHC</v>
      </c>
      <c r="U83" s="389" t="str">
        <v>-</v>
      </c>
      <c r="V83" s="162" t="str">
        <v>ComSur</v>
      </c>
      <c r="W83" s="162" t="str">
        <v>CHC - MCM</v>
      </c>
      <c r="X83" s="391" t="str">
        <v>-</v>
      </c>
      <c r="Y83" s="157" t="str">
        <v>USAP Air</v>
      </c>
      <c r="Z83" s="169">
        <v>45597</v>
      </c>
      <c r="AA83" s="157" t="str">
        <v>-</v>
      </c>
      <c r="AB83" s="157" t="str">
        <v>LC-130</v>
      </c>
      <c r="AC83" s="157">
        <v>45621</v>
      </c>
      <c r="AD83" s="163" t="str">
        <v>Yes</v>
      </c>
      <c r="AE83" s="163" t="str">
        <v>FY25 inter</v>
      </c>
      <c r="AF83" s="163" t="str">
        <v>FY25 intra</v>
      </c>
      <c r="AG83" s="157" t="str">
        <v>S. Yoshida</v>
      </c>
      <c r="AH83" s="157">
        <v>44461</v>
      </c>
      <c r="AI83" s="157" t="str">
        <v>D. Tosi</v>
      </c>
      <c r="AJ83" s="157">
        <v>44461</v>
      </c>
      <c r="AK83" s="163" t="str">
        <v>Pallet sizes are under review. shipped in 20 and 40ft container. Container weight not included in the assumption that pallet will be taken out in CHC.</v>
      </c>
      <c r="AL83" s="146" t="str">
        <v/>
      </c>
    </row>
    <row r="84" spans="1:40" ht="51">
      <c r="A84" s="181">
        <v>1.3</v>
      </c>
      <c r="B84" s="166" t="str">
        <v>Installation</v>
      </c>
      <c r="C84" s="164" t="str">
        <v>String Sensors 89-93</v>
      </c>
      <c r="D84" s="164" t="str">
        <v>Sensors (D-Eggs) pallets with 12 sensors  in McMurdo overwinter - Do Not Deep Freeze</v>
      </c>
      <c r="E84" s="176">
        <v>60</v>
      </c>
      <c r="F84" s="176">
        <v>41</v>
      </c>
      <c r="G84" s="176">
        <v>69</v>
      </c>
      <c r="H84" s="176">
        <v>10</v>
      </c>
      <c r="I84" s="154">
        <v>982.29166666666674</v>
      </c>
      <c r="J84" s="154">
        <v>1102</v>
      </c>
      <c r="K84" s="154">
        <v>11020</v>
      </c>
      <c r="L84" s="152" t="str">
        <v>actual</v>
      </c>
      <c r="M84" s="168" t="str">
        <v>DNDF [-40C]</v>
      </c>
      <c r="N84" s="156" t="str">
        <v>Chiba</v>
      </c>
      <c r="O84" s="407">
        <v>61</v>
      </c>
      <c r="P84" s="158">
        <v>45078</v>
      </c>
      <c r="Q84" s="158" t="str">
        <v>ChibaU - CHC</v>
      </c>
      <c r="R84" s="158">
        <v>45139</v>
      </c>
      <c r="S84" s="160" t="str">
        <v>Cargo shipment by CHU</v>
      </c>
      <c r="T84" s="160" t="str">
        <v>ChibaU - CHC</v>
      </c>
      <c r="U84" s="389" t="str">
        <v>-</v>
      </c>
      <c r="V84" s="162" t="str">
        <v>ComSur</v>
      </c>
      <c r="W84" s="162" t="str">
        <v>CHC - MCM</v>
      </c>
      <c r="X84" s="391" t="str">
        <v>-</v>
      </c>
      <c r="Y84" s="157" t="str">
        <v>USAP Air</v>
      </c>
      <c r="Z84" s="169">
        <v>45597</v>
      </c>
      <c r="AA84" s="157" t="str">
        <v>-</v>
      </c>
      <c r="AB84" s="157" t="str">
        <v>LC-130</v>
      </c>
      <c r="AC84" s="157">
        <v>45621</v>
      </c>
      <c r="AD84" s="163" t="str">
        <v>Yes</v>
      </c>
      <c r="AE84" s="163" t="str">
        <v>FY25 inter</v>
      </c>
      <c r="AF84" s="163" t="str">
        <v>FY25 intra</v>
      </c>
      <c r="AG84" s="157" t="str">
        <v>S. Yoshida</v>
      </c>
      <c r="AH84" s="157">
        <v>44461</v>
      </c>
      <c r="AI84" s="157" t="str">
        <v>D. Tosi</v>
      </c>
      <c r="AJ84" s="157">
        <v>44461</v>
      </c>
      <c r="AK84" s="163" t="str">
        <v>Pallet sizes are under review. shipped in 20 and 40ft container. Container weight not included in the assumption that pallet will be taken out in CHC.</v>
      </c>
      <c r="AL84" s="146"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s="9" customFormat="1" ht="17.100000000000001" hidden="1">
      <c r="A86" s="72">
        <v>1.2</v>
      </c>
      <c r="B86" s="48" t="str">
        <v>Fuel</v>
      </c>
      <c r="C86" s="1" t="str">
        <v>Field Season 1 Fuel</v>
      </c>
      <c r="D86" s="1" t="str">
        <v>Fuel to support FY23 field season - Base fuel</v>
      </c>
      <c r="E86" s="38" t="str">
        <v/>
      </c>
      <c r="F86" s="38" t="str">
        <v/>
      </c>
      <c r="G86" s="38" t="str">
        <v/>
      </c>
      <c r="H86" s="38">
        <v>3191</v>
      </c>
      <c r="I86" s="450">
        <v>426.57462315454006</v>
      </c>
      <c r="J86" s="450">
        <v>6.8</v>
      </c>
      <c r="K86" s="4">
        <v>21698.799999999999</v>
      </c>
      <c r="L86" s="103" t="str">
        <v>preliminary</v>
      </c>
      <c r="M86" s="40" t="str">
        <v/>
      </c>
      <c r="N86" s="10" t="str">
        <v/>
      </c>
      <c r="O86" s="435" t="str">
        <v/>
      </c>
      <c r="P86" s="428" t="str">
        <v>-</v>
      </c>
      <c r="Q86" s="429" t="str">
        <v>-</v>
      </c>
      <c r="R86" s="428" t="str">
        <v>-</v>
      </c>
      <c r="S86" s="431" t="str">
        <v>-</v>
      </c>
      <c r="T86" s="431" t="str">
        <v>-</v>
      </c>
      <c r="U86" s="431" t="str">
        <v>-</v>
      </c>
      <c r="V86" s="433" t="str">
        <v>-</v>
      </c>
      <c r="W86" s="76" t="str">
        <v>-</v>
      </c>
      <c r="X86" s="433" t="str">
        <v>-</v>
      </c>
      <c r="Y86" s="435" t="str">
        <v>-</v>
      </c>
      <c r="Z86" s="434">
        <v>44866</v>
      </c>
      <c r="AA86" s="427" t="str">
        <v>-</v>
      </c>
      <c r="AB86" s="435" t="str">
        <v>LC-130/SPoT</v>
      </c>
      <c r="AC86" s="409">
        <v>44896</v>
      </c>
      <c r="AD86" s="409" t="str">
        <v>Yes</v>
      </c>
      <c r="AE86" s="409" t="str">
        <v>FY23 inter</v>
      </c>
      <c r="AF86" s="409" t="str">
        <v>FY23 intra</v>
      </c>
      <c r="AG86" s="409" t="str">
        <v>T. Benson</v>
      </c>
      <c r="AH86" s="409">
        <v>44483</v>
      </c>
      <c r="AI86" s="409" t="str">
        <v>I. McEwen</v>
      </c>
      <c r="AJ86" s="409">
        <v>44483</v>
      </c>
      <c r="AK86" s="409" t="str">
        <v/>
      </c>
      <c r="AL86" s="9" t="str">
        <v/>
      </c>
    </row>
    <row r="87" spans="1:40" s="9" customFormat="1" ht="17.100000000000001" hidden="1">
      <c r="A87" s="72">
        <v>1.2</v>
      </c>
      <c r="B87" s="48" t="str">
        <v/>
      </c>
      <c r="C87" s="1" t="str">
        <v>Field Season 1 Fuel Contingency</v>
      </c>
      <c r="D87" s="1" t="str">
        <v>Fuel to support FY23 field season - Contingency</v>
      </c>
      <c r="E87" s="38" t="str">
        <v/>
      </c>
      <c r="F87" s="38" t="str">
        <v/>
      </c>
      <c r="G87" s="38" t="str">
        <v/>
      </c>
      <c r="H87" s="4">
        <v>452</v>
      </c>
      <c r="I87" s="450">
        <v>60.423606915027293</v>
      </c>
      <c r="J87" s="450">
        <v>6.8</v>
      </c>
      <c r="K87" s="4">
        <v>3073.6</v>
      </c>
      <c r="L87" s="103" t="str">
        <v>preliminary</v>
      </c>
      <c r="M87" s="40" t="str">
        <v/>
      </c>
      <c r="N87" s="10" t="str">
        <v/>
      </c>
      <c r="O87" s="435" t="str">
        <v/>
      </c>
      <c r="P87" s="428" t="str">
        <v>-</v>
      </c>
      <c r="Q87" s="429" t="str">
        <v>-</v>
      </c>
      <c r="R87" s="428" t="str">
        <v>-</v>
      </c>
      <c r="S87" s="431" t="str">
        <v>-</v>
      </c>
      <c r="T87" s="431" t="str">
        <v>-</v>
      </c>
      <c r="U87" s="431" t="str">
        <v>-</v>
      </c>
      <c r="V87" s="433" t="str">
        <v>-</v>
      </c>
      <c r="W87" s="76" t="str">
        <v>-</v>
      </c>
      <c r="X87" s="433" t="str">
        <v>-</v>
      </c>
      <c r="Y87" s="435" t="str">
        <v>-</v>
      </c>
      <c r="Z87" s="434">
        <v>44866</v>
      </c>
      <c r="AA87" s="427" t="str">
        <v>-</v>
      </c>
      <c r="AB87" s="435" t="str">
        <v>LC-130/SPoT</v>
      </c>
      <c r="AC87" s="409">
        <v>44896</v>
      </c>
      <c r="AD87" s="409" t="str">
        <v>Yes</v>
      </c>
      <c r="AE87" s="409" t="str">
        <v>FY23 inter</v>
      </c>
      <c r="AF87" s="409" t="str">
        <v>FY23 intra</v>
      </c>
      <c r="AG87" s="409" t="str">
        <v>T. Benson</v>
      </c>
      <c r="AH87" s="409">
        <v>44483</v>
      </c>
      <c r="AI87" s="409" t="str">
        <v>I. McEwen</v>
      </c>
      <c r="AJ87" s="409">
        <v>44483</v>
      </c>
      <c r="AK87" s="409" t="str">
        <v/>
      </c>
      <c r="AL87" s="9" t="str">
        <v/>
      </c>
    </row>
    <row r="88" spans="1:40" s="9" customFormat="1" ht="17.100000000000001" hidden="1">
      <c r="A88" s="72">
        <v>1.2</v>
      </c>
      <c r="B88" s="48" t="str">
        <v/>
      </c>
      <c r="C88" s="1" t="str">
        <v>Field Season 2 Fuel</v>
      </c>
      <c r="D88" s="1" t="str">
        <v>Fuel to support FY24 field season - Base fuel, firn drilling &amp; over winter heating</v>
      </c>
      <c r="E88" s="38" t="str">
        <v/>
      </c>
      <c r="F88" s="38" t="str">
        <v/>
      </c>
      <c r="G88" s="38" t="str">
        <v/>
      </c>
      <c r="H88" s="40">
        <v>18178</v>
      </c>
      <c r="I88" s="450">
        <v>2430.0449701357657</v>
      </c>
      <c r="J88" s="450">
        <v>6.8</v>
      </c>
      <c r="K88" s="4">
        <v>123610.4</v>
      </c>
      <c r="L88" s="103" t="str">
        <v>preliminary</v>
      </c>
      <c r="M88" s="40" t="str">
        <v/>
      </c>
      <c r="N88" s="10" t="str">
        <v/>
      </c>
      <c r="O88" s="435" t="str">
        <v/>
      </c>
      <c r="P88" s="428" t="str">
        <v>-</v>
      </c>
      <c r="Q88" s="429" t="str">
        <v>-</v>
      </c>
      <c r="R88" s="428" t="str">
        <v>-</v>
      </c>
      <c r="S88" s="431" t="str">
        <v>-</v>
      </c>
      <c r="T88" s="431" t="str">
        <v>-</v>
      </c>
      <c r="U88" s="431" t="str">
        <v>-</v>
      </c>
      <c r="V88" s="433" t="str">
        <v>-</v>
      </c>
      <c r="W88" s="76" t="str">
        <v>-</v>
      </c>
      <c r="X88" s="433" t="str">
        <v>-</v>
      </c>
      <c r="Y88" s="435" t="str">
        <v>-</v>
      </c>
      <c r="Z88" s="434">
        <v>45231</v>
      </c>
      <c r="AA88" s="427" t="str">
        <v>-</v>
      </c>
      <c r="AB88" s="435" t="str">
        <v>LC-130/SPoT</v>
      </c>
      <c r="AC88" s="409">
        <v>45261</v>
      </c>
      <c r="AD88" s="409" t="str">
        <v>Yes</v>
      </c>
      <c r="AE88" s="409" t="str">
        <v>FY24 inter</v>
      </c>
      <c r="AF88" s="409" t="str">
        <v>FY24 intra</v>
      </c>
      <c r="AG88" s="409" t="str">
        <v>T. Benson</v>
      </c>
      <c r="AH88" s="409">
        <v>44483</v>
      </c>
      <c r="AI88" s="409" t="str">
        <v>I. McEwen</v>
      </c>
      <c r="AJ88" s="409">
        <v>44483</v>
      </c>
      <c r="AK88" s="409" t="str">
        <v/>
      </c>
      <c r="AL88" s="9" t="str">
        <v/>
      </c>
    </row>
    <row r="89" spans="1:40" s="91" customFormat="1" ht="21" hidden="1" customHeight="1" thickBot="1">
      <c r="A89" s="72">
        <v>1.2</v>
      </c>
      <c r="B89" s="48" t="str">
        <v/>
      </c>
      <c r="C89" s="1" t="str">
        <v>Field Season 2 Fuel Contingency</v>
      </c>
      <c r="D89" s="1" t="str">
        <v>Fuel to suppport FY24 field season - Contingency</v>
      </c>
      <c r="E89" s="38" t="str">
        <v/>
      </c>
      <c r="F89" s="38" t="str">
        <v/>
      </c>
      <c r="G89" s="38" t="str">
        <v/>
      </c>
      <c r="H89" s="40">
        <v>2373</v>
      </c>
      <c r="I89" s="450">
        <v>317.22393630389331</v>
      </c>
      <c r="J89" s="450">
        <v>6.8</v>
      </c>
      <c r="K89" s="4">
        <v>16136.4</v>
      </c>
      <c r="L89" s="103" t="str">
        <v>preliminary</v>
      </c>
      <c r="M89" s="40" t="str">
        <v/>
      </c>
      <c r="N89" s="10" t="str">
        <v/>
      </c>
      <c r="O89" s="435" t="str">
        <v/>
      </c>
      <c r="P89" s="428" t="str">
        <v>-</v>
      </c>
      <c r="Q89" s="429" t="str">
        <v>-</v>
      </c>
      <c r="R89" s="428" t="str">
        <v>-</v>
      </c>
      <c r="S89" s="431" t="str">
        <v>-</v>
      </c>
      <c r="T89" s="431" t="str">
        <v>-</v>
      </c>
      <c r="U89" s="431" t="str">
        <v>-</v>
      </c>
      <c r="V89" s="433" t="str">
        <v>-</v>
      </c>
      <c r="W89" s="76" t="str">
        <v>-</v>
      </c>
      <c r="X89" s="433" t="str">
        <v>-</v>
      </c>
      <c r="Y89" s="435" t="str">
        <v>-</v>
      </c>
      <c r="Z89" s="434">
        <v>45231</v>
      </c>
      <c r="AA89" s="427" t="str">
        <v>-</v>
      </c>
      <c r="AB89" s="435" t="str">
        <v>LC-130/SPoT</v>
      </c>
      <c r="AC89" s="409">
        <v>45261</v>
      </c>
      <c r="AD89" s="409" t="str">
        <v>Yes</v>
      </c>
      <c r="AE89" s="409" t="str">
        <v>FY24 inter</v>
      </c>
      <c r="AF89" s="409" t="str">
        <v>FY24 intra</v>
      </c>
      <c r="AG89" s="409" t="str">
        <v>T. Benson</v>
      </c>
      <c r="AH89" s="409">
        <v>44483</v>
      </c>
      <c r="AI89" s="409" t="str">
        <v>I. McEwen</v>
      </c>
      <c r="AJ89" s="409">
        <v>44483</v>
      </c>
      <c r="AK89" s="409" t="str">
        <v/>
      </c>
      <c r="AL89" s="11" t="str">
        <v/>
      </c>
      <c r="AM89" s="11"/>
      <c r="AN89" s="11"/>
    </row>
    <row r="90" spans="1:40" ht="23.1" customHeight="1">
      <c r="A90" s="181">
        <v>1.2</v>
      </c>
      <c r="B90" s="166" t="str">
        <v/>
      </c>
      <c r="C90" s="164" t="str">
        <v>Field Season 3 Fuel</v>
      </c>
      <c r="D90" s="164" t="str">
        <v>Fuel to support FY25 field season - Base fuel &amp; deep drilling</v>
      </c>
      <c r="E90" s="176" t="str">
        <v/>
      </c>
      <c r="F90" s="176" t="str">
        <v/>
      </c>
      <c r="G90" s="176" t="str">
        <v/>
      </c>
      <c r="H90" s="177">
        <v>62694</v>
      </c>
      <c r="I90" s="386">
        <v>8380.9681679883215</v>
      </c>
      <c r="J90" s="386">
        <v>6.8</v>
      </c>
      <c r="K90" s="154">
        <v>426319.2</v>
      </c>
      <c r="L90" s="183" t="str">
        <v>preliminary</v>
      </c>
      <c r="M90" s="177" t="str">
        <v/>
      </c>
      <c r="N90" s="156" t="str">
        <v/>
      </c>
      <c r="O90" s="407" t="str">
        <v/>
      </c>
      <c r="P90" s="158" t="str">
        <v>-</v>
      </c>
      <c r="Q90" s="158" t="str">
        <v>-</v>
      </c>
      <c r="R90" s="158" t="str">
        <v>-</v>
      </c>
      <c r="S90" s="160" t="str">
        <v>-</v>
      </c>
      <c r="T90" s="160" t="str">
        <v>-</v>
      </c>
      <c r="U90" s="389" t="str">
        <v>-</v>
      </c>
      <c r="V90" s="162" t="str">
        <v>-</v>
      </c>
      <c r="W90" s="162" t="str">
        <v>-</v>
      </c>
      <c r="X90" s="391" t="str">
        <v>-</v>
      </c>
      <c r="Y90" s="157" t="str">
        <v>-</v>
      </c>
      <c r="Z90" s="169">
        <v>45597</v>
      </c>
      <c r="AA90" s="157" t="str">
        <v>-</v>
      </c>
      <c r="AB90" s="157" t="str">
        <v>LC-130/SPoT</v>
      </c>
      <c r="AC90" s="157">
        <v>45627</v>
      </c>
      <c r="AD90" s="163" t="str">
        <v>Yes</v>
      </c>
      <c r="AE90" s="163" t="str">
        <v>FY25 inter</v>
      </c>
      <c r="AF90" s="163" t="str">
        <v>FY25 intra</v>
      </c>
      <c r="AG90" s="157" t="str">
        <v>T. Benson</v>
      </c>
      <c r="AH90" s="157">
        <v>44483</v>
      </c>
      <c r="AI90" s="157" t="str">
        <v>I. McEwen</v>
      </c>
      <c r="AJ90" s="157">
        <v>44483</v>
      </c>
      <c r="AK90" s="163" t="str">
        <v/>
      </c>
      <c r="AL90" s="146" t="str">
        <v/>
      </c>
    </row>
    <row r="91" spans="1:40" ht="23.1" customHeight="1">
      <c r="A91" s="181">
        <v>1.2</v>
      </c>
      <c r="B91" s="166" t="str">
        <v/>
      </c>
      <c r="C91" s="164" t="str">
        <v>Field Season 3 Fuel Contingency</v>
      </c>
      <c r="D91" s="164" t="str">
        <v>Fuel to suppport FY25 field season - Contingency</v>
      </c>
      <c r="E91" s="176" t="str">
        <v/>
      </c>
      <c r="F91" s="176" t="str">
        <v/>
      </c>
      <c r="G91" s="176" t="str">
        <v/>
      </c>
      <c r="H91" s="177">
        <v>8473</v>
      </c>
      <c r="I91" s="386">
        <v>1132.6752685642175</v>
      </c>
      <c r="J91" s="386">
        <v>6.8</v>
      </c>
      <c r="K91" s="154">
        <v>57616.4</v>
      </c>
      <c r="L91" s="183" t="str">
        <v>preliminary</v>
      </c>
      <c r="M91" s="177" t="str">
        <v/>
      </c>
      <c r="N91" s="156" t="str">
        <v/>
      </c>
      <c r="O91" s="407" t="str">
        <v/>
      </c>
      <c r="P91" s="158" t="str">
        <v>-</v>
      </c>
      <c r="Q91" s="158" t="str">
        <v>-</v>
      </c>
      <c r="R91" s="158" t="str">
        <v>-</v>
      </c>
      <c r="S91" s="160" t="str">
        <v>-</v>
      </c>
      <c r="T91" s="160" t="str">
        <v>-</v>
      </c>
      <c r="U91" s="389" t="str">
        <v>-</v>
      </c>
      <c r="V91" s="162" t="str">
        <v>-</v>
      </c>
      <c r="W91" s="162" t="str">
        <v>-</v>
      </c>
      <c r="X91" s="391" t="str">
        <v>-</v>
      </c>
      <c r="Y91" s="157" t="str">
        <v>-</v>
      </c>
      <c r="Z91" s="169">
        <v>45597</v>
      </c>
      <c r="AA91" s="157" t="str">
        <v>-</v>
      </c>
      <c r="AB91" s="157" t="str">
        <v>LC-130/SPoT</v>
      </c>
      <c r="AC91" s="157">
        <v>45627</v>
      </c>
      <c r="AD91" s="163" t="str">
        <v>Yes</v>
      </c>
      <c r="AE91" s="163" t="str">
        <v>FY25 inter</v>
      </c>
      <c r="AF91" s="163" t="str">
        <v>FY25 intra</v>
      </c>
      <c r="AG91" s="157" t="str">
        <v>T. Benson</v>
      </c>
      <c r="AH91" s="157">
        <v>44483</v>
      </c>
      <c r="AI91" s="157" t="str">
        <v>I. McEwen</v>
      </c>
      <c r="AJ91" s="157">
        <v>44483</v>
      </c>
      <c r="AK91" s="163" t="str">
        <v/>
      </c>
      <c r="AL91" s="146" t="str">
        <v/>
      </c>
    </row>
    <row r="92" spans="1:40" s="9" customFormat="1" ht="20.100000000000001" hidden="1">
      <c r="A92" s="25" t="str">
        <v/>
      </c>
      <c r="B92" s="25" t="str">
        <v/>
      </c>
      <c r="C92" s="3" t="str">
        <v>Fuel Totals:</v>
      </c>
      <c r="D92" s="42" t="str">
        <v/>
      </c>
      <c r="E92" s="43" t="str">
        <v/>
      </c>
      <c r="F92" s="43" t="str">
        <v/>
      </c>
      <c r="G92" s="44" t="str">
        <v>TEU=&gt;</v>
      </c>
      <c r="H92" s="45">
        <v>13.39066236666152</v>
      </c>
      <c r="I92" s="46">
        <v>12747.910573061765</v>
      </c>
      <c r="J92" s="46" t="str">
        <v/>
      </c>
      <c r="K92" s="46">
        <v>648454.80000000005</v>
      </c>
      <c r="L92" s="104" t="str">
        <v/>
      </c>
      <c r="M92" s="46" t="str">
        <v/>
      </c>
      <c r="N92" s="427" t="str">
        <v/>
      </c>
      <c r="O92" s="435" t="str">
        <v/>
      </c>
      <c r="P92" s="427" t="str">
        <v/>
      </c>
      <c r="Q92" s="435" t="str">
        <v/>
      </c>
      <c r="R92" s="427" t="str">
        <v/>
      </c>
      <c r="S92" s="427" t="str">
        <v/>
      </c>
      <c r="T92" s="427" t="str">
        <v/>
      </c>
      <c r="U92" s="427" t="str">
        <v/>
      </c>
      <c r="V92" s="427" t="str">
        <v/>
      </c>
      <c r="W92" s="427" t="str">
        <v/>
      </c>
      <c r="X92" s="427" t="str">
        <v/>
      </c>
      <c r="Y92" s="435" t="str">
        <v/>
      </c>
      <c r="Z92" s="434" t="str">
        <v/>
      </c>
      <c r="AA92" s="427" t="str">
        <v/>
      </c>
      <c r="AB92" s="435" t="str">
        <v/>
      </c>
      <c r="AC92" s="427" t="str">
        <v/>
      </c>
      <c r="AD92" s="427" t="str">
        <v/>
      </c>
      <c r="AE92" s="427" t="str">
        <v/>
      </c>
      <c r="AF92" s="427" t="str">
        <v/>
      </c>
      <c r="AG92" s="427" t="str">
        <v/>
      </c>
      <c r="AH92" s="427" t="str">
        <v/>
      </c>
      <c r="AI92" s="427" t="str">
        <v/>
      </c>
      <c r="AJ92" s="427" t="str">
        <v/>
      </c>
      <c r="AK92" s="427" t="str">
        <v/>
      </c>
      <c r="AL92" s="9" t="str">
        <v/>
      </c>
    </row>
    <row r="93" spans="1:40" s="9" customFormat="1" ht="15.95" hidden="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84"/>
      <c r="D94" s="184"/>
      <c r="Z94" s="186"/>
    </row>
    <row r="95" spans="1:40">
      <c r="C95" s="184"/>
      <c r="D95" s="184"/>
      <c r="Z95" s="186"/>
    </row>
    <row r="96" spans="1:40">
      <c r="C96" s="184"/>
      <c r="D96" s="184"/>
      <c r="Z96" s="186"/>
    </row>
    <row r="97" spans="1:26">
      <c r="C97" s="184"/>
      <c r="D97" s="184"/>
      <c r="Z97" s="186"/>
    </row>
    <row r="98" spans="1:26">
      <c r="C98" s="184"/>
      <c r="D98" s="184"/>
      <c r="Z98" s="186"/>
    </row>
    <row r="99" spans="1:26">
      <c r="C99" s="184"/>
      <c r="D99" s="184"/>
      <c r="Z99" s="186"/>
    </row>
    <row r="100" spans="1:26">
      <c r="C100" s="184"/>
      <c r="D100" s="184"/>
      <c r="Z100" s="186"/>
    </row>
    <row r="101" spans="1:26">
      <c r="C101" s="184"/>
      <c r="D101" s="184"/>
      <c r="Z101" s="186"/>
    </row>
    <row r="102" spans="1:26">
      <c r="A102" s="187"/>
      <c r="B102" s="187"/>
      <c r="C102" s="184"/>
      <c r="D102" s="184"/>
      <c r="I102" s="188"/>
      <c r="J102" s="188"/>
      <c r="K102" s="188"/>
      <c r="L102" s="189"/>
      <c r="Z102" s="186"/>
    </row>
    <row r="103" spans="1:26">
      <c r="A103" s="187"/>
      <c r="B103" s="187"/>
      <c r="C103" s="184"/>
      <c r="D103" s="184"/>
      <c r="Z103" s="186"/>
    </row>
    <row r="104" spans="1:26">
      <c r="Z104" s="186"/>
    </row>
    <row r="105" spans="1:26">
      <c r="C105" s="184"/>
      <c r="D105" s="184"/>
      <c r="Z105" s="186"/>
    </row>
    <row r="106" spans="1:26">
      <c r="C106" s="184"/>
      <c r="D106" s="184"/>
      <c r="Z106" s="186"/>
    </row>
    <row r="107" spans="1:26">
      <c r="C107" s="184"/>
      <c r="D107" s="184"/>
      <c r="Z107" s="186"/>
    </row>
    <row r="108" spans="1:26">
      <c r="Z108" s="186"/>
    </row>
    <row r="109" spans="1:26">
      <c r="C109" s="184"/>
      <c r="D109" s="184"/>
      <c r="Z109" s="186"/>
    </row>
    <row r="110" spans="1:26">
      <c r="C110" s="184"/>
      <c r="D110" s="184"/>
      <c r="Z110" s="186"/>
    </row>
    <row r="111" spans="1:26">
      <c r="Z111" s="186"/>
    </row>
    <row r="112" spans="1:26">
      <c r="L112" s="191"/>
      <c r="Z112" s="186"/>
    </row>
    <row r="113" spans="1:26">
      <c r="D113" s="192"/>
      <c r="Z113" s="186"/>
    </row>
    <row r="114" spans="1:26" ht="15.95" thickBot="1">
      <c r="D114" s="192"/>
      <c r="Z114" s="186"/>
    </row>
    <row r="115" spans="1:26" ht="15.95" customHeight="1">
      <c r="A115" s="420"/>
      <c r="B115" s="421"/>
      <c r="C115" s="193" t="s">
        <v>475</v>
      </c>
      <c r="D115" s="194" t="s">
        <v>476</v>
      </c>
      <c r="Z115" s="186"/>
    </row>
    <row r="116" spans="1:26" ht="32.1" customHeight="1">
      <c r="A116" s="422" t="s">
        <v>477</v>
      </c>
      <c r="B116" s="423"/>
      <c r="C116" s="387">
        <f>SUBTOTAL(9,I2:I100)</f>
        <v>18371.257151830312</v>
      </c>
      <c r="D116" s="195">
        <f>SUBTOTAL(9,K2:K100)</f>
        <v>655346.6</v>
      </c>
      <c r="E116" s="196"/>
      <c r="Z116" s="186"/>
    </row>
    <row r="117" spans="1:26" ht="33" customHeight="1" thickBot="1">
      <c r="A117" s="424" t="s">
        <v>478</v>
      </c>
      <c r="B117" s="425"/>
      <c r="C117" s="197">
        <f>SUMIFS(volume,pole_date,"&gt;="&amp;$A$120,pole_date,"&lt;="&amp;$B$120)</f>
        <v>18371.257151830312</v>
      </c>
      <c r="D117" s="198">
        <f>SUMIFS(weight_,pole_date,"&gt;="&amp;A$120,pole_date,"&lt;="&amp;$B$120)</f>
        <v>655346.6</v>
      </c>
      <c r="J117" s="196"/>
      <c r="Z117" s="186"/>
    </row>
    <row r="118" spans="1:26" ht="15.95" thickBot="1">
      <c r="D118" s="192"/>
      <c r="Z118" s="186"/>
    </row>
    <row r="119" spans="1:26" ht="15.95">
      <c r="A119" s="199" t="s">
        <v>479</v>
      </c>
      <c r="B119" s="193" t="s">
        <v>480</v>
      </c>
      <c r="C119" s="193"/>
      <c r="D119" s="194"/>
      <c r="Z119" s="186"/>
    </row>
    <row r="120" spans="1:26">
      <c r="A120" s="200">
        <f>'ICU_cargo MASTER INPUT SHEET'!A130</f>
        <v>45597</v>
      </c>
      <c r="B120" s="201">
        <f>'ICU_cargo MASTER INPUT SHEET'!B130</f>
        <v>45703</v>
      </c>
      <c r="D120" s="195"/>
      <c r="Z120" s="186"/>
    </row>
    <row r="121" spans="1:26" ht="15.95" thickBot="1">
      <c r="A121" s="424"/>
      <c r="B121" s="425"/>
      <c r="C121" s="197"/>
      <c r="D121" s="198"/>
      <c r="Z121" s="186"/>
    </row>
    <row r="122" spans="1:26">
      <c r="Z122" s="186"/>
    </row>
    <row r="123" spans="1:26">
      <c r="Z123" s="186"/>
    </row>
    <row r="124" spans="1:26" ht="15.95">
      <c r="A124" s="202"/>
      <c r="B124" s="202"/>
      <c r="C124" s="203"/>
      <c r="D124" s="203"/>
      <c r="Z124" s="186"/>
    </row>
    <row r="125" spans="1:26" ht="15.95">
      <c r="A125" s="202"/>
      <c r="B125" s="202"/>
      <c r="C125" s="203"/>
      <c r="D125" s="203"/>
      <c r="Z125" s="186"/>
    </row>
    <row r="126" spans="1:26" ht="15.95">
      <c r="A126" s="202"/>
      <c r="B126" s="202"/>
      <c r="C126" s="203"/>
      <c r="D126" s="203"/>
      <c r="Z126" s="186"/>
    </row>
    <row r="127" spans="1:26" ht="15.95">
      <c r="A127" s="202"/>
      <c r="B127" s="202"/>
      <c r="C127" s="203"/>
      <c r="D127" s="203"/>
      <c r="Z127" s="186"/>
    </row>
    <row r="128" spans="1:26">
      <c r="Z128" s="186"/>
    </row>
    <row r="129" spans="26:26">
      <c r="Z129" s="186"/>
    </row>
    <row r="130" spans="26:26">
      <c r="Z130" s="186"/>
    </row>
    <row r="131" spans="26:26">
      <c r="Z131" s="186"/>
    </row>
    <row r="132" spans="26:26">
      <c r="Z132" s="186"/>
    </row>
    <row r="133" spans="26:26">
      <c r="Z133" s="186"/>
    </row>
    <row r="134" spans="26:26">
      <c r="Z134" s="186"/>
    </row>
    <row r="135" spans="26:26">
      <c r="Z135" s="186"/>
    </row>
    <row r="136" spans="26:26">
      <c r="Z136" s="186"/>
    </row>
    <row r="137" spans="26:26">
      <c r="Z137" s="186"/>
    </row>
    <row r="138" spans="26:26">
      <c r="Z138" s="186"/>
    </row>
    <row r="139" spans="26:26">
      <c r="Z139" s="186"/>
    </row>
    <row r="140" spans="26:26">
      <c r="Z140" s="186"/>
    </row>
    <row r="141" spans="26:26">
      <c r="Z141" s="186"/>
    </row>
    <row r="142" spans="26:26">
      <c r="Z142" s="186"/>
    </row>
    <row r="143" spans="26:26">
      <c r="Z143" s="186"/>
    </row>
    <row r="144" spans="26:26">
      <c r="Z144" s="186"/>
    </row>
    <row r="145" spans="26:26">
      <c r="Z145" s="186"/>
    </row>
    <row r="146" spans="26:26">
      <c r="Z146" s="186"/>
    </row>
    <row r="147" spans="26:26">
      <c r="Z147" s="186"/>
    </row>
    <row r="148" spans="26:26">
      <c r="Z148" s="186"/>
    </row>
    <row r="149" spans="26:26">
      <c r="Z149" s="186"/>
    </row>
    <row r="150" spans="26:26">
      <c r="Z150" s="186"/>
    </row>
    <row r="151" spans="26:26">
      <c r="Z151" s="186"/>
    </row>
    <row r="152" spans="26:26">
      <c r="Z152" s="186"/>
    </row>
    <row r="153" spans="26:26">
      <c r="Z153" s="186"/>
    </row>
    <row r="154" spans="26:26">
      <c r="Z154" s="186"/>
    </row>
    <row r="155" spans="26:26">
      <c r="Z155" s="186"/>
    </row>
    <row r="156" spans="26:26">
      <c r="Z156" s="186"/>
    </row>
    <row r="157" spans="26:26">
      <c r="Z157" s="186"/>
    </row>
    <row r="158" spans="26:26">
      <c r="Z158" s="186"/>
    </row>
    <row r="159" spans="26:26">
      <c r="Z159" s="186"/>
    </row>
    <row r="160" spans="26:26">
      <c r="Z160" s="186"/>
    </row>
    <row r="161" spans="26:26">
      <c r="Z161" s="186"/>
    </row>
    <row r="162" spans="26:26">
      <c r="Z162" s="186"/>
    </row>
    <row r="163" spans="26:26">
      <c r="Z163" s="186"/>
    </row>
    <row r="164" spans="26:26">
      <c r="Z164" s="186"/>
    </row>
    <row r="165" spans="26:26">
      <c r="Z165" s="186"/>
    </row>
    <row r="166" spans="26:26">
      <c r="Z166" s="186"/>
    </row>
    <row r="167" spans="26:26">
      <c r="Z167" s="186"/>
    </row>
    <row r="168" spans="26:26">
      <c r="Z168" s="186"/>
    </row>
    <row r="169" spans="26:26">
      <c r="Z169" s="186"/>
    </row>
    <row r="170" spans="26:26">
      <c r="Z170" s="186"/>
    </row>
    <row r="171" spans="26:26">
      <c r="Z171" s="186"/>
    </row>
    <row r="172" spans="26:26">
      <c r="Z172" s="186"/>
    </row>
    <row r="173" spans="26:26">
      <c r="Z173" s="186"/>
    </row>
    <row r="174" spans="26:26">
      <c r="Z174" s="186"/>
    </row>
    <row r="175" spans="26:26">
      <c r="Z175" s="186"/>
    </row>
    <row r="176" spans="26:26">
      <c r="Z176" s="186"/>
    </row>
    <row r="177" spans="26:26">
      <c r="Z177" s="186"/>
    </row>
    <row r="178" spans="26:26">
      <c r="Z178" s="186"/>
    </row>
    <row r="179" spans="26:26">
      <c r="Z179" s="186"/>
    </row>
    <row r="180" spans="26:26">
      <c r="Z180" s="186"/>
    </row>
    <row r="181" spans="26:26">
      <c r="Z181" s="186"/>
    </row>
    <row r="182" spans="26:26">
      <c r="Z182" s="186"/>
    </row>
    <row r="183" spans="26:26">
      <c r="Z183" s="186"/>
    </row>
    <row r="184" spans="26:26">
      <c r="Z184" s="186"/>
    </row>
    <row r="185" spans="26:26">
      <c r="Z185" s="186"/>
    </row>
    <row r="186" spans="26:26">
      <c r="Z186" s="186"/>
    </row>
    <row r="187" spans="26:26">
      <c r="Z187" s="186"/>
    </row>
    <row r="188" spans="26:26">
      <c r="Z188" s="186"/>
    </row>
    <row r="189" spans="26:26">
      <c r="Z189" s="186"/>
    </row>
    <row r="190" spans="26:26">
      <c r="Z190" s="186"/>
    </row>
    <row r="191" spans="26:26">
      <c r="Z191" s="186"/>
    </row>
    <row r="192" spans="26:26">
      <c r="Z192" s="186"/>
    </row>
    <row r="193" spans="26:26">
      <c r="Z193" s="186"/>
    </row>
    <row r="194" spans="26:26">
      <c r="Z194" s="186"/>
    </row>
    <row r="195" spans="26:26">
      <c r="Z195" s="186"/>
    </row>
    <row r="196" spans="26:26">
      <c r="Z196" s="186"/>
    </row>
    <row r="197" spans="26:26">
      <c r="Z197" s="186"/>
    </row>
    <row r="198" spans="26:26">
      <c r="Z198" s="186"/>
    </row>
    <row r="199" spans="26:26">
      <c r="Z199" s="186"/>
    </row>
    <row r="200" spans="26:26">
      <c r="Z200" s="186"/>
    </row>
    <row r="201" spans="26:26">
      <c r="Z201" s="186"/>
    </row>
    <row r="202" spans="26:26">
      <c r="Z202" s="186"/>
    </row>
    <row r="203" spans="26:26">
      <c r="Z203" s="186"/>
    </row>
    <row r="204" spans="26:26">
      <c r="Z204" s="186"/>
    </row>
    <row r="205" spans="26:26">
      <c r="Z205" s="186"/>
    </row>
    <row r="206" spans="26:26">
      <c r="Z206" s="186"/>
    </row>
    <row r="207" spans="26:26">
      <c r="Z207" s="186"/>
    </row>
    <row r="208" spans="26:26">
      <c r="Z208" s="186"/>
    </row>
    <row r="209" spans="26:26">
      <c r="Z209" s="186"/>
    </row>
    <row r="210" spans="26:26">
      <c r="Z210" s="186"/>
    </row>
    <row r="211" spans="26:26">
      <c r="Z211" s="186"/>
    </row>
    <row r="212" spans="26:26">
      <c r="Z212" s="186"/>
    </row>
    <row r="213" spans="26:26">
      <c r="Z213" s="186"/>
    </row>
    <row r="214" spans="26:26">
      <c r="Z214" s="186"/>
    </row>
    <row r="215" spans="26:26">
      <c r="Z215" s="186"/>
    </row>
    <row r="216" spans="26:26">
      <c r="Z216" s="186"/>
    </row>
    <row r="217" spans="26:26">
      <c r="Z217" s="186"/>
    </row>
    <row r="218" spans="26:26">
      <c r="Z218" s="186"/>
    </row>
    <row r="219" spans="26:26">
      <c r="Z219" s="186"/>
    </row>
    <row r="220" spans="26:26">
      <c r="Z220" s="186"/>
    </row>
    <row r="221" spans="26:26">
      <c r="Z221" s="186"/>
    </row>
    <row r="222" spans="26:26">
      <c r="Z222" s="186"/>
    </row>
    <row r="223" spans="26:26">
      <c r="Z223" s="186"/>
    </row>
    <row r="224" spans="26:26">
      <c r="Z224" s="186"/>
    </row>
    <row r="225" spans="26:26">
      <c r="Z225" s="186"/>
    </row>
    <row r="226" spans="26:26">
      <c r="Z226" s="186"/>
    </row>
    <row r="227" spans="26:26">
      <c r="Z227" s="186"/>
    </row>
    <row r="228" spans="26:26">
      <c r="Z228" s="186"/>
    </row>
    <row r="229" spans="26:26">
      <c r="Z229" s="186"/>
    </row>
    <row r="230" spans="26:26">
      <c r="Z230" s="186"/>
    </row>
    <row r="231" spans="26:26">
      <c r="Z231" s="186"/>
    </row>
    <row r="232" spans="26:26">
      <c r="Z232" s="186"/>
    </row>
    <row r="233" spans="26:26">
      <c r="Z233" s="186"/>
    </row>
    <row r="234" spans="26:26">
      <c r="Z234" s="186"/>
    </row>
    <row r="235" spans="26:26">
      <c r="Z235" s="186"/>
    </row>
    <row r="236" spans="26:26">
      <c r="Z236" s="186"/>
    </row>
    <row r="237" spans="26:26">
      <c r="Z237" s="186"/>
    </row>
    <row r="238" spans="26:26">
      <c r="Z238" s="186"/>
    </row>
    <row r="239" spans="26:26">
      <c r="Z239" s="186"/>
    </row>
    <row r="240" spans="26:26">
      <c r="Z240" s="186"/>
    </row>
    <row r="241" spans="26:26">
      <c r="Z241" s="186"/>
    </row>
    <row r="242" spans="26:26">
      <c r="Z242" s="186"/>
    </row>
    <row r="243" spans="26:26">
      <c r="Z243" s="186"/>
    </row>
    <row r="244" spans="26:26">
      <c r="Z244" s="186"/>
    </row>
    <row r="245" spans="26:26">
      <c r="Z245" s="186"/>
    </row>
    <row r="246" spans="26:26">
      <c r="Z246" s="186"/>
    </row>
    <row r="247" spans="26:26">
      <c r="Z247" s="186"/>
    </row>
    <row r="248" spans="26:26">
      <c r="Z248" s="186"/>
    </row>
    <row r="249" spans="26:26">
      <c r="Z249" s="186"/>
    </row>
    <row r="250" spans="26:26">
      <c r="Z250" s="186"/>
    </row>
    <row r="251" spans="26:26">
      <c r="Z251" s="186"/>
    </row>
    <row r="252" spans="26:26">
      <c r="Z252" s="186"/>
    </row>
    <row r="253" spans="26:26">
      <c r="Z253" s="186"/>
    </row>
    <row r="254" spans="26:26">
      <c r="Z254" s="186"/>
    </row>
    <row r="255" spans="26:26">
      <c r="Z255" s="186"/>
    </row>
    <row r="256" spans="26:26">
      <c r="Z256" s="186"/>
    </row>
    <row r="257" spans="26:26">
      <c r="Z257" s="186"/>
    </row>
    <row r="258" spans="26:26">
      <c r="Z258" s="186"/>
    </row>
    <row r="259" spans="26:26">
      <c r="Z259" s="186"/>
    </row>
    <row r="260" spans="26:26">
      <c r="Z260" s="186"/>
    </row>
    <row r="261" spans="26:26">
      <c r="Z261" s="186"/>
    </row>
    <row r="262" spans="26:26">
      <c r="Z262" s="186"/>
    </row>
    <row r="263" spans="26:26">
      <c r="Z263" s="186"/>
    </row>
    <row r="264" spans="26:26">
      <c r="Z264" s="186"/>
    </row>
    <row r="265" spans="26:26">
      <c r="Z265" s="186"/>
    </row>
    <row r="266" spans="26:26">
      <c r="Z266" s="186"/>
    </row>
    <row r="267" spans="26:26">
      <c r="Z267" s="186"/>
    </row>
    <row r="268" spans="26:26">
      <c r="Z268" s="186"/>
    </row>
    <row r="269" spans="26:26">
      <c r="Z269" s="186"/>
    </row>
    <row r="270" spans="26:26">
      <c r="Z270" s="186"/>
    </row>
    <row r="271" spans="26:26">
      <c r="Z271" s="186"/>
    </row>
    <row r="272" spans="26:26">
      <c r="Z272" s="186"/>
    </row>
    <row r="273" spans="26:26">
      <c r="Z273" s="186"/>
    </row>
    <row r="274" spans="26:26">
      <c r="Z274" s="186"/>
    </row>
    <row r="275" spans="26:26">
      <c r="Z275" s="186"/>
    </row>
    <row r="276" spans="26:26">
      <c r="Z276" s="186"/>
    </row>
    <row r="277" spans="26:26">
      <c r="Z277" s="186"/>
    </row>
    <row r="278" spans="26:26">
      <c r="Z278" s="186"/>
    </row>
    <row r="279" spans="26:26">
      <c r="Z279" s="186"/>
    </row>
    <row r="280" spans="26:26">
      <c r="Z280" s="186"/>
    </row>
    <row r="281" spans="26:26">
      <c r="Z281" s="186"/>
    </row>
    <row r="282" spans="26:26">
      <c r="Z282" s="186"/>
    </row>
    <row r="283" spans="26:26">
      <c r="Z283" s="186"/>
    </row>
    <row r="284" spans="26:26">
      <c r="Z284" s="186"/>
    </row>
    <row r="285" spans="26:26">
      <c r="Z285" s="186"/>
    </row>
    <row r="286" spans="26:26">
      <c r="Z286" s="186"/>
    </row>
    <row r="287" spans="26:26">
      <c r="Z287" s="186"/>
    </row>
    <row r="288" spans="26:26">
      <c r="Z288" s="186"/>
    </row>
    <row r="289" spans="26:26">
      <c r="Z289" s="186"/>
    </row>
    <row r="290" spans="26:26">
      <c r="Z290" s="186"/>
    </row>
    <row r="291" spans="26:26">
      <c r="Z291" s="186"/>
    </row>
    <row r="292" spans="26:26">
      <c r="Z292" s="186"/>
    </row>
    <row r="293" spans="26:26">
      <c r="Z293" s="186"/>
    </row>
    <row r="294" spans="26:26">
      <c r="Z294" s="186"/>
    </row>
    <row r="295" spans="26:26">
      <c r="Z295" s="186"/>
    </row>
    <row r="296" spans="26:26">
      <c r="Z296" s="186"/>
    </row>
    <row r="297" spans="26:26">
      <c r="Z297" s="186"/>
    </row>
    <row r="298" spans="26:26">
      <c r="Z298" s="186"/>
    </row>
    <row r="299" spans="26:26">
      <c r="Z299" s="186"/>
    </row>
    <row r="300" spans="26:26">
      <c r="Z300" s="186"/>
    </row>
    <row r="301" spans="26:26">
      <c r="Z301" s="186"/>
    </row>
    <row r="302" spans="26:26">
      <c r="Z302" s="186"/>
    </row>
    <row r="303" spans="26:26">
      <c r="Z303" s="186"/>
    </row>
    <row r="304" spans="26:26">
      <c r="Z304" s="186"/>
    </row>
    <row r="305" spans="26:26">
      <c r="Z305" s="186"/>
    </row>
    <row r="306" spans="26:26">
      <c r="Z306" s="186"/>
    </row>
    <row r="307" spans="26:26">
      <c r="Z307" s="186"/>
    </row>
    <row r="308" spans="26:26">
      <c r="Z308" s="186"/>
    </row>
    <row r="309" spans="26:26">
      <c r="Z309" s="186"/>
    </row>
    <row r="310" spans="26:26">
      <c r="Z310" s="186"/>
    </row>
    <row r="311" spans="26:26">
      <c r="Z311" s="186"/>
    </row>
    <row r="312" spans="26:26">
      <c r="Z312" s="186"/>
    </row>
    <row r="313" spans="26:26">
      <c r="Z313" s="186"/>
    </row>
    <row r="314" spans="26:26">
      <c r="Z314" s="186"/>
    </row>
    <row r="315" spans="26:26">
      <c r="Z315" s="186"/>
    </row>
    <row r="316" spans="26:26">
      <c r="Z316" s="186"/>
    </row>
    <row r="317" spans="26:26">
      <c r="Z317" s="186"/>
    </row>
    <row r="318" spans="26:26">
      <c r="Z318" s="186"/>
    </row>
    <row r="319" spans="26:26">
      <c r="Z319" s="186"/>
    </row>
    <row r="320" spans="26:26">
      <c r="Z320" s="186"/>
    </row>
    <row r="321" spans="26:26">
      <c r="Z321" s="186"/>
    </row>
    <row r="322" spans="26:26">
      <c r="Z322" s="186"/>
    </row>
    <row r="323" spans="26:26">
      <c r="Z323" s="186"/>
    </row>
    <row r="324" spans="26:26">
      <c r="Z324" s="186"/>
    </row>
    <row r="325" spans="26:26">
      <c r="Z325" s="186"/>
    </row>
    <row r="326" spans="26:26">
      <c r="Z326" s="186"/>
    </row>
    <row r="327" spans="26:26">
      <c r="Z327" s="186"/>
    </row>
    <row r="328" spans="26:26">
      <c r="Z328" s="186"/>
    </row>
    <row r="329" spans="26:26">
      <c r="Z329" s="186"/>
    </row>
    <row r="330" spans="26:26">
      <c r="Z330" s="186"/>
    </row>
    <row r="331" spans="26:26">
      <c r="Z331" s="186"/>
    </row>
    <row r="332" spans="26:26">
      <c r="Z332" s="186"/>
    </row>
    <row r="333" spans="26:26">
      <c r="Z333" s="186"/>
    </row>
    <row r="334" spans="26:26">
      <c r="Z334" s="186"/>
    </row>
    <row r="335" spans="26:26">
      <c r="Z335" s="186"/>
    </row>
    <row r="336" spans="26:26">
      <c r="Z336" s="186"/>
    </row>
    <row r="337" spans="26:26">
      <c r="Z337" s="186"/>
    </row>
    <row r="338" spans="26:26">
      <c r="Z338" s="186"/>
    </row>
    <row r="339" spans="26:26">
      <c r="Z339" s="186"/>
    </row>
    <row r="340" spans="26:26">
      <c r="Z340" s="186"/>
    </row>
    <row r="341" spans="26:26">
      <c r="Z341" s="186"/>
    </row>
    <row r="342" spans="26:26">
      <c r="Z342" s="186"/>
    </row>
    <row r="343" spans="26:26">
      <c r="Z343" s="186"/>
    </row>
    <row r="344" spans="26:26">
      <c r="Z344" s="186"/>
    </row>
    <row r="345" spans="26:26">
      <c r="Z345" s="186"/>
    </row>
    <row r="346" spans="26:26">
      <c r="Z346" s="186"/>
    </row>
    <row r="347" spans="26:26">
      <c r="Z347" s="186"/>
    </row>
    <row r="348" spans="26:26">
      <c r="Z348" s="186"/>
    </row>
    <row r="349" spans="26:26">
      <c r="Z349" s="186"/>
    </row>
    <row r="350" spans="26:26">
      <c r="Z350" s="186"/>
    </row>
    <row r="351" spans="26:26">
      <c r="Z351" s="186"/>
    </row>
    <row r="352" spans="26:26">
      <c r="Z352" s="186"/>
    </row>
    <row r="353" spans="26:26">
      <c r="Z353" s="186"/>
    </row>
  </sheetData>
  <sheetProtection sheet="1" objects="1" scenarios="1" formatCells="0" formatColumns="0" formatRows="0" sort="0" autoFilter="0"/>
  <autoFilter ref="A1:AN93" xr:uid="{B9CC8815-DE83-5C4F-8092-5FD95B79DD18}">
    <filterColumn colId="27">
      <filters>
        <dateGroupItem year="2024" month="11" dateTimeGrouping="month"/>
        <dateGroupItem year="2024" month="12" dateTimeGrouping="month"/>
      </filters>
    </filterColumn>
  </autoFilter>
  <mergeCells count="4">
    <mergeCell ref="A115:B115"/>
    <mergeCell ref="A116:B116"/>
    <mergeCell ref="A117:B117"/>
    <mergeCell ref="A121:B121"/>
  </mergeCells>
  <conditionalFormatting sqref="D116">
    <cfRule type="cellIs" dxfId="3" priority="4" operator="equal">
      <formula>$D$117</formula>
    </cfRule>
  </conditionalFormatting>
  <conditionalFormatting sqref="D117">
    <cfRule type="cellIs" dxfId="2" priority="3" operator="equal">
      <formula>$D$116</formula>
    </cfRule>
  </conditionalFormatting>
  <conditionalFormatting sqref="C116">
    <cfRule type="cellIs" dxfId="1" priority="2" operator="equal">
      <formula>$C$117</formula>
    </cfRule>
  </conditionalFormatting>
  <conditionalFormatting sqref="C117">
    <cfRule type="cellIs" dxfId="0" priority="1" operator="equal">
      <formula>$C$116</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71BBB-C04A-D144-88BF-4F658CAA6F4E}">
  <dimension ref="A1:S139"/>
  <sheetViews>
    <sheetView topLeftCell="A4" workbookViewId="0">
      <selection activeCell="I68" sqref="I68"/>
    </sheetView>
  </sheetViews>
  <sheetFormatPr defaultColWidth="11.42578125" defaultRowHeight="15"/>
  <cols>
    <col min="2" max="2" width="32.42578125" customWidth="1"/>
    <col min="3" max="3" width="13" customWidth="1"/>
    <col min="4" max="4" width="10.85546875" style="207"/>
    <col min="10" max="13" width="0" hidden="1" customWidth="1"/>
    <col min="14" max="14" width="12" customWidth="1"/>
    <col min="15" max="15" width="27.28515625" customWidth="1"/>
  </cols>
  <sheetData>
    <row r="1" spans="2:19" ht="15.95" thickBot="1"/>
    <row r="2" spans="2:19" ht="63.95">
      <c r="B2" s="301"/>
      <c r="C2" s="302" t="s">
        <v>351</v>
      </c>
      <c r="D2" s="303" t="s">
        <v>352</v>
      </c>
      <c r="E2" s="292" t="s">
        <v>353</v>
      </c>
      <c r="F2" s="292" t="s">
        <v>354</v>
      </c>
      <c r="G2" s="293" t="s">
        <v>355</v>
      </c>
      <c r="H2" s="220"/>
      <c r="I2" s="220"/>
      <c r="J2" s="208" t="s">
        <v>356</v>
      </c>
      <c r="K2" s="208" t="s">
        <v>357</v>
      </c>
      <c r="L2" s="220"/>
      <c r="M2" s="220"/>
      <c r="O2" s="283"/>
      <c r="P2" s="292" t="s">
        <v>352</v>
      </c>
      <c r="Q2" s="292" t="s">
        <v>353</v>
      </c>
      <c r="R2" s="292" t="s">
        <v>354</v>
      </c>
      <c r="S2" s="293" t="s">
        <v>355</v>
      </c>
    </row>
    <row r="3" spans="2:19" ht="15.95">
      <c r="B3" s="294" t="s">
        <v>358</v>
      </c>
      <c r="C3" s="74" t="s">
        <v>359</v>
      </c>
      <c r="D3" s="289">
        <f>SUM('ICU_cargo MASTER INPUT SHEET'!I59:I64)</f>
        <v>5614.6440972222226</v>
      </c>
      <c r="E3" s="209">
        <f t="shared" ref="E3:E12" si="0">D3/$D$15</f>
        <v>0.1403809945550141</v>
      </c>
      <c r="F3" s="75">
        <f>SUM('ICU_cargo MASTER INPUT SHEET'!K59:K64)</f>
        <v>128112</v>
      </c>
      <c r="G3" s="284">
        <f t="shared" ref="G3:G12" si="1">F3/$F$15</f>
        <v>0.24789857428133563</v>
      </c>
      <c r="H3" s="210"/>
      <c r="I3" s="210"/>
      <c r="J3" s="210">
        <f>D14/$D$17</f>
        <v>0.48520317264297735</v>
      </c>
      <c r="K3" s="210">
        <f>F14/$F$17</f>
        <v>0.24550850515101177</v>
      </c>
      <c r="L3" s="210"/>
      <c r="M3" s="210"/>
      <c r="O3" s="348" t="str">
        <f>B3</f>
        <v>cables (SCAs, MCAs, BCAs, SJBs)</v>
      </c>
      <c r="P3" s="75">
        <f>D3</f>
        <v>5614.6440972222226</v>
      </c>
      <c r="Q3" s="209">
        <f>P3/$P$11</f>
        <v>0.1403809945550141</v>
      </c>
      <c r="R3" s="75">
        <f>F3</f>
        <v>128112</v>
      </c>
      <c r="S3" s="284">
        <f t="shared" ref="S3:S8" si="2">R3/$R$11</f>
        <v>0.24789857428133563</v>
      </c>
    </row>
    <row r="4" spans="2:19" ht="15.95">
      <c r="B4" s="294" t="s">
        <v>360</v>
      </c>
      <c r="C4" s="74" t="s">
        <v>361</v>
      </c>
      <c r="D4" s="75">
        <f>SUM('ICU_cargo MASTER INPUT SHEET'!I79:I84)</f>
        <v>2480.286458333333</v>
      </c>
      <c r="E4" s="209">
        <f t="shared" si="0"/>
        <v>6.2013740100539443E-2</v>
      </c>
      <c r="F4" s="75">
        <f>SUM('ICU_cargo MASTER INPUT SHEET'!K79:K84)</f>
        <v>27780</v>
      </c>
      <c r="G4" s="284">
        <f t="shared" si="1"/>
        <v>5.37547020851716E-2</v>
      </c>
      <c r="H4" s="210"/>
      <c r="I4" s="210"/>
      <c r="J4" s="210">
        <f t="shared" ref="J4:J13" si="3">D3/$D$17</f>
        <v>0.10645153043558464</v>
      </c>
      <c r="K4" s="210">
        <f t="shared" ref="K4:K13" si="4">F3/$F$17</f>
        <v>0.10994409081406617</v>
      </c>
      <c r="L4" s="210"/>
      <c r="M4" s="210"/>
      <c r="O4" s="348" t="s">
        <v>362</v>
      </c>
      <c r="P4" s="75">
        <f>D5+D4</f>
        <v>5189.1753472222226</v>
      </c>
      <c r="Q4" s="209">
        <f t="shared" ref="Q4:Q8" si="5">P4/$P$11</f>
        <v>0.12974314730364009</v>
      </c>
      <c r="R4" s="75">
        <f>F5+F4</f>
        <v>58149</v>
      </c>
      <c r="S4" s="284">
        <f t="shared" si="2"/>
        <v>0.11251915664329169</v>
      </c>
    </row>
    <row r="5" spans="2:19" ht="32.1">
      <c r="B5" s="294" t="s">
        <v>363</v>
      </c>
      <c r="C5" s="74" t="s">
        <v>364</v>
      </c>
      <c r="D5" s="75">
        <f>'ICU_cargo MASTER INPUT SHEET'!I75+'ICU_cargo MASTER INPUT SHEET'!I71+'ICU_cargo MASTER INPUT SHEET'!I70+'ICU_cargo MASTER INPUT SHEET'!I66+'ICU_cargo MASTER INPUT SHEET'!I65</f>
        <v>2708.8888888888891</v>
      </c>
      <c r="E5" s="209">
        <f t="shared" si="0"/>
        <v>6.7729407203100639E-2</v>
      </c>
      <c r="F5" s="75">
        <f>'ICU_cargo MASTER INPUT SHEET'!K75+'ICU_cargo MASTER INPUT SHEET'!K71+'ICU_cargo MASTER INPUT SHEET'!K70+'ICU_cargo MASTER INPUT SHEET'!K66+'ICU_cargo MASTER INPUT SHEET'!K65</f>
        <v>30369</v>
      </c>
      <c r="G5" s="284">
        <f t="shared" si="1"/>
        <v>5.8764454558120092E-2</v>
      </c>
      <c r="H5" s="210"/>
      <c r="J5" s="210">
        <f t="shared" si="3"/>
        <v>4.7025294005521211E-2</v>
      </c>
      <c r="K5" s="210">
        <f t="shared" si="4"/>
        <v>2.384044307180247E-2</v>
      </c>
      <c r="L5" s="210"/>
      <c r="M5" s="210"/>
      <c r="O5" s="348" t="s">
        <v>365</v>
      </c>
      <c r="P5" s="75">
        <f>D6+D7+D8</f>
        <v>908.54253472222217</v>
      </c>
      <c r="Q5" s="209">
        <f t="shared" si="5"/>
        <v>2.2715973160781267E-2</v>
      </c>
      <c r="R5" s="75">
        <f>F6+F7+F8</f>
        <v>14878</v>
      </c>
      <c r="S5" s="284">
        <f t="shared" si="2"/>
        <v>2.8789145342807163E-2</v>
      </c>
    </row>
    <row r="6" spans="2:19" ht="32.1">
      <c r="B6" s="294" t="s">
        <v>366</v>
      </c>
      <c r="C6" s="74" t="s">
        <v>367</v>
      </c>
      <c r="D6" s="75">
        <f>'ICU_cargo MASTER INPUT SHEET'!I77+'ICU_cargo MASTER INPUT SHEET'!I76+'ICU_cargo MASTER INPUT SHEET'!I73+'ICU_cargo MASTER INPUT SHEET'!I72+'ICU_cargo MASTER INPUT SHEET'!I50+'ICU_cargo MASTER INPUT SHEET'!I49+'ICU_cargo MASTER INPUT SHEET'!I47+'ICU_cargo MASTER INPUT SHEET'!I46</f>
        <v>561.84346064814815</v>
      </c>
      <c r="E6" s="209">
        <f t="shared" si="0"/>
        <v>1.4047576734033597E-2</v>
      </c>
      <c r="F6" s="75">
        <f>'ICU_cargo MASTER INPUT SHEET'!K77+'ICU_cargo MASTER INPUT SHEET'!K76+'ICU_cargo MASTER INPUT SHEET'!K73+'ICU_cargo MASTER INPUT SHEET'!K72+'ICU_cargo MASTER INPUT SHEET'!K50+'ICU_cargo MASTER INPUT SHEET'!K49+'ICU_cargo MASTER INPUT SHEET'!K47+'ICU_cargo MASTER INPUT SHEET'!K46</f>
        <v>9178</v>
      </c>
      <c r="G6" s="284">
        <f t="shared" si="1"/>
        <v>1.7759562841530054E-2</v>
      </c>
      <c r="H6" s="210"/>
      <c r="J6" s="210">
        <f t="shared" si="3"/>
        <v>5.1359509705136593E-2</v>
      </c>
      <c r="K6" s="210">
        <f t="shared" si="4"/>
        <v>2.6062289980114083E-2</v>
      </c>
      <c r="L6" s="210"/>
      <c r="M6" s="210"/>
      <c r="O6" s="348" t="str">
        <f>B9</f>
        <v>DOM Handling Facility</v>
      </c>
      <c r="P6" s="75">
        <f>D9</f>
        <v>1280</v>
      </c>
      <c r="Q6" s="209">
        <f t="shared" si="5"/>
        <v>3.2003395036083647E-2</v>
      </c>
      <c r="R6" s="75">
        <f>F9</f>
        <v>12000</v>
      </c>
      <c r="S6" s="284">
        <f t="shared" si="2"/>
        <v>2.3220173686899177E-2</v>
      </c>
    </row>
    <row r="7" spans="2:19" ht="15.95">
      <c r="B7" s="294" t="s">
        <v>368</v>
      </c>
      <c r="C7" s="74" t="s">
        <v>369</v>
      </c>
      <c r="D7" s="75">
        <f>'ICU_cargo MASTER INPUT SHEET'!I68</f>
        <v>64</v>
      </c>
      <c r="E7" s="209">
        <f t="shared" si="0"/>
        <v>1.6001697518041823E-3</v>
      </c>
      <c r="F7" s="75">
        <f>'ICU_cargo MASTER INPUT SHEET'!K68</f>
        <v>1500</v>
      </c>
      <c r="G7" s="284">
        <f t="shared" si="1"/>
        <v>2.9025217108623971E-3</v>
      </c>
      <c r="H7" s="210"/>
      <c r="J7" s="210">
        <f t="shared" si="3"/>
        <v>1.0652339705879197E-2</v>
      </c>
      <c r="K7" s="210">
        <f t="shared" si="4"/>
        <v>7.8764429990281892E-3</v>
      </c>
      <c r="L7" s="210"/>
      <c r="M7" s="210"/>
      <c r="O7" s="348" t="str">
        <f>B10</f>
        <v>hardware (rigging and weights)</v>
      </c>
      <c r="P7" s="75">
        <f>D10</f>
        <v>980</v>
      </c>
      <c r="Q7" s="209">
        <f t="shared" si="5"/>
        <v>2.4502599324501544E-2</v>
      </c>
      <c r="R7" s="75">
        <f>F10</f>
        <v>12500</v>
      </c>
      <c r="S7" s="284">
        <f t="shared" si="2"/>
        <v>2.4187680923853309E-2</v>
      </c>
    </row>
    <row r="8" spans="2:19" ht="15.95">
      <c r="B8" s="294" t="s">
        <v>370</v>
      </c>
      <c r="C8" s="74" t="s">
        <v>371</v>
      </c>
      <c r="D8" s="75">
        <f>SUM('ICU_cargo MASTER INPUT SHEET'!I52:I57)</f>
        <v>282.69907407407408</v>
      </c>
      <c r="E8" s="209">
        <f t="shared" si="0"/>
        <v>7.0682266749434886E-3</v>
      </c>
      <c r="F8" s="75">
        <f>SUM('ICU_cargo MASTER INPUT SHEET'!K52:K57)</f>
        <v>4200</v>
      </c>
      <c r="G8" s="284">
        <f t="shared" si="1"/>
        <v>8.127060790414713E-3</v>
      </c>
      <c r="H8" s="210"/>
      <c r="J8" s="210">
        <f t="shared" si="3"/>
        <v>1.2134158158391582E-3</v>
      </c>
      <c r="K8" s="210">
        <f t="shared" si="4"/>
        <v>1.2872809434018612E-3</v>
      </c>
      <c r="L8" s="210"/>
      <c r="M8" s="210"/>
      <c r="O8" s="349" t="s">
        <v>372</v>
      </c>
      <c r="P8" s="281">
        <f>D11+D12</f>
        <v>432</v>
      </c>
      <c r="Q8" s="282">
        <f t="shared" si="5"/>
        <v>1.0801145824678232E-2</v>
      </c>
      <c r="R8" s="281">
        <f>F11+F12</f>
        <v>5075</v>
      </c>
      <c r="S8" s="285">
        <f t="shared" si="2"/>
        <v>9.8201984550844446E-3</v>
      </c>
    </row>
    <row r="9" spans="2:19" ht="15.95">
      <c r="B9" s="315" t="s">
        <v>373</v>
      </c>
      <c r="C9" s="316" t="s">
        <v>371</v>
      </c>
      <c r="D9" s="75">
        <f>'ICU_cargo MASTER INPUT SHEET'!I34</f>
        <v>1280</v>
      </c>
      <c r="E9" s="209">
        <f t="shared" si="0"/>
        <v>3.2003395036083647E-2</v>
      </c>
      <c r="F9" s="75">
        <f>'ICU_cargo MASTER INPUT SHEET'!K34</f>
        <v>12000</v>
      </c>
      <c r="G9" s="284">
        <f t="shared" si="1"/>
        <v>2.3220173686899177E-2</v>
      </c>
      <c r="H9" s="210"/>
      <c r="J9" s="210">
        <f t="shared" si="3"/>
        <v>5.359867618821363E-3</v>
      </c>
      <c r="K9" s="210">
        <f t="shared" si="4"/>
        <v>3.6043866415252116E-3</v>
      </c>
      <c r="L9" s="210"/>
      <c r="M9" s="210"/>
      <c r="O9" s="350" t="s">
        <v>374</v>
      </c>
      <c r="P9" s="314">
        <f>SUM(P3:P8)</f>
        <v>14404.361979166668</v>
      </c>
      <c r="Q9" s="312">
        <f>P9/$P$11</f>
        <v>0.36014725520469887</v>
      </c>
      <c r="R9" s="314">
        <f t="shared" ref="R9" si="6">SUM(R3:R8)</f>
        <v>230714</v>
      </c>
      <c r="S9" s="313">
        <f>R9/$R$11</f>
        <v>0.44643492933327139</v>
      </c>
    </row>
    <row r="10" spans="2:19" ht="15.95">
      <c r="B10" s="294" t="s">
        <v>375</v>
      </c>
      <c r="C10" s="74" t="s">
        <v>371</v>
      </c>
      <c r="D10" s="75">
        <f>'ICU_cargo MASTER INPUT SHEET'!I44+'ICU_cargo MASTER INPUT SHEET'!I45</f>
        <v>980</v>
      </c>
      <c r="E10" s="209">
        <f t="shared" si="0"/>
        <v>2.4502599324501544E-2</v>
      </c>
      <c r="F10" s="75">
        <f>'ICU_cargo MASTER INPUT SHEET'!K44+'ICU_cargo MASTER INPUT SHEET'!K45</f>
        <v>12500</v>
      </c>
      <c r="G10" s="284">
        <f t="shared" si="1"/>
        <v>2.4187680923853309E-2</v>
      </c>
      <c r="H10" s="210"/>
      <c r="J10" s="210">
        <f t="shared" si="3"/>
        <v>2.4268316316783164E-2</v>
      </c>
      <c r="K10" s="210">
        <f t="shared" si="4"/>
        <v>1.029824754721489E-2</v>
      </c>
      <c r="L10" s="210"/>
      <c r="M10" s="210"/>
      <c r="O10" s="351" t="str">
        <f>B14</f>
        <v>drill equipment</v>
      </c>
      <c r="P10" s="311">
        <f>D14</f>
        <v>25591.394675925931</v>
      </c>
      <c r="Q10" s="312">
        <f>P10/$P$11</f>
        <v>0.63985274479530108</v>
      </c>
      <c r="R10" s="311">
        <f>F14</f>
        <v>286078</v>
      </c>
      <c r="S10" s="313">
        <f>R10/$R$11</f>
        <v>0.55356507066672855</v>
      </c>
    </row>
    <row r="11" spans="2:19" ht="17.100000000000001" thickBot="1">
      <c r="B11" s="294" t="s">
        <v>376</v>
      </c>
      <c r="C11" s="74" t="s">
        <v>371</v>
      </c>
      <c r="D11" s="75">
        <f>'ICU_cargo MASTER INPUT SHEET'!I51+'ICU_cargo MASTER INPUT SHEET'!I48</f>
        <v>128</v>
      </c>
      <c r="E11" s="209">
        <f t="shared" si="0"/>
        <v>3.2003395036083646E-3</v>
      </c>
      <c r="F11" s="75">
        <f>'ICU_cargo MASTER INPUT SHEET'!K51+'ICU_cargo MASTER INPUT SHEET'!K48</f>
        <v>3000</v>
      </c>
      <c r="G11" s="284">
        <f t="shared" si="1"/>
        <v>5.8050434217247942E-3</v>
      </c>
      <c r="H11" s="210"/>
      <c r="J11" s="210">
        <f t="shared" si="3"/>
        <v>1.8580429680037109E-2</v>
      </c>
      <c r="K11" s="210">
        <f t="shared" si="4"/>
        <v>1.072734119501551E-2</v>
      </c>
      <c r="L11" s="210"/>
      <c r="M11" s="210"/>
      <c r="O11" s="352" t="s">
        <v>377</v>
      </c>
      <c r="P11" s="255">
        <f>SUM(P9:P10)</f>
        <v>39995.756655092599</v>
      </c>
      <c r="Q11" s="290">
        <f t="shared" ref="Q11:S11" si="7">SUM(Q9:Q10)</f>
        <v>1</v>
      </c>
      <c r="R11" s="255">
        <f>SUM(R9:R10)</f>
        <v>516792</v>
      </c>
      <c r="S11" s="291">
        <f t="shared" si="7"/>
        <v>1</v>
      </c>
    </row>
    <row r="12" spans="2:19" ht="15.95">
      <c r="B12" s="294" t="s">
        <v>378</v>
      </c>
      <c r="C12" s="74" t="s">
        <v>371</v>
      </c>
      <c r="D12" s="75">
        <f>'ICU_cargo MASTER INPUT SHEET'!I27+'ICU_cargo MASTER INPUT SHEET'!I28+'ICU_cargo MASTER INPUT SHEET'!I74</f>
        <v>304</v>
      </c>
      <c r="E12" s="209">
        <f t="shared" si="0"/>
        <v>7.6008063210698668E-3</v>
      </c>
      <c r="F12" s="75">
        <f>'ICU_cargo MASTER INPUT SHEET'!K27+'ICU_cargo MASTER INPUT SHEET'!K28+'ICU_cargo MASTER INPUT SHEET'!K74</f>
        <v>2075</v>
      </c>
      <c r="G12" s="284">
        <f t="shared" si="1"/>
        <v>4.0151550333596495E-3</v>
      </c>
      <c r="H12" s="210"/>
      <c r="J12" s="210">
        <f t="shared" si="3"/>
        <v>2.4268316316783164E-3</v>
      </c>
      <c r="K12" s="210">
        <f t="shared" si="4"/>
        <v>2.5745618868037224E-3</v>
      </c>
      <c r="L12" s="210"/>
      <c r="M12" s="210"/>
      <c r="O12" s="348" t="s">
        <v>379</v>
      </c>
      <c r="P12" s="75">
        <f>D16</f>
        <v>12747.910573061765</v>
      </c>
      <c r="Q12" s="9"/>
      <c r="R12" s="75">
        <f>F16</f>
        <v>648454.80000000005</v>
      </c>
      <c r="S12" s="286"/>
    </row>
    <row r="13" spans="2:19" ht="17.100000000000001" thickBot="1">
      <c r="B13" s="304" t="s">
        <v>380</v>
      </c>
      <c r="C13" s="305" t="s">
        <v>381</v>
      </c>
      <c r="D13" s="306">
        <f>SUM(D3:D12)</f>
        <v>14404.361979166668</v>
      </c>
      <c r="E13" s="307">
        <f>D13/D15</f>
        <v>0.36014725520469887</v>
      </c>
      <c r="F13" s="306">
        <f>SUM(F3:F12)</f>
        <v>230714</v>
      </c>
      <c r="G13" s="308">
        <f>F13/F15</f>
        <v>0.44643492933327139</v>
      </c>
      <c r="H13" s="210"/>
      <c r="J13" s="210">
        <f t="shared" si="3"/>
        <v>5.7637251252360012E-3</v>
      </c>
      <c r="K13" s="210">
        <f t="shared" si="4"/>
        <v>1.7807386383725747E-3</v>
      </c>
      <c r="L13" s="210"/>
      <c r="M13" s="210"/>
      <c r="N13" s="213"/>
      <c r="O13" s="353" t="s">
        <v>382</v>
      </c>
      <c r="P13" s="287">
        <f>P11+P12</f>
        <v>52743.667228154365</v>
      </c>
      <c r="Q13" s="287"/>
      <c r="R13" s="287">
        <f>R11+R12</f>
        <v>1165246.8</v>
      </c>
      <c r="S13" s="288"/>
    </row>
    <row r="14" spans="2:19" ht="15.95">
      <c r="B14" s="309" t="s">
        <v>383</v>
      </c>
      <c r="C14" s="310" t="s">
        <v>371</v>
      </c>
      <c r="D14" s="311">
        <f>SUM('ICU_cargo MASTER INPUT SHEET'!I2:I12,'ICU_cargo MASTER INPUT SHEET'!I14:I18,'ICU_cargo MASTER INPUT SHEET'!I20:I26,'ICU_cargo MASTER INPUT SHEET'!I29:I33,'ICU_cargo MASTER INPUT SHEET'!I35:I43)</f>
        <v>25591.394675925931</v>
      </c>
      <c r="E14" s="312">
        <f>D14/$D$15</f>
        <v>0.63985274479530108</v>
      </c>
      <c r="F14" s="311">
        <f>SUM('ICU_cargo MASTER INPUT SHEET'!K2:K12,'ICU_cargo MASTER INPUT SHEET'!K14:K18,'ICU_cargo MASTER INPUT SHEET'!K20:K26,'ICU_cargo MASTER INPUT SHEET'!K29:K33,'ICU_cargo MASTER INPUT SHEET'!K35:K43)</f>
        <v>286078</v>
      </c>
      <c r="G14" s="313">
        <f>F14/$F$15</f>
        <v>0.55356507066672855</v>
      </c>
      <c r="H14" s="219"/>
      <c r="J14" s="210"/>
      <c r="K14" s="210"/>
      <c r="L14" s="210"/>
      <c r="M14" s="210"/>
      <c r="N14" s="213"/>
    </row>
    <row r="15" spans="2:19" ht="17.100000000000001" thickBot="1">
      <c r="B15" s="317" t="s">
        <v>384</v>
      </c>
      <c r="C15" s="318"/>
      <c r="D15" s="319">
        <f>SUM(D13:D14)</f>
        <v>39995.756655092599</v>
      </c>
      <c r="E15" s="320">
        <f>SUM(E13:E14)</f>
        <v>1</v>
      </c>
      <c r="F15" s="319">
        <f>SUM(F13:F14)</f>
        <v>516792</v>
      </c>
      <c r="G15" s="321">
        <f>SUM(G13:G14)</f>
        <v>1</v>
      </c>
      <c r="H15" s="210"/>
      <c r="J15" s="210">
        <f>D16/$D$17</f>
        <v>0.24169556731650582</v>
      </c>
      <c r="K15" s="210">
        <f>F16/$F$17</f>
        <v>0.55649567113164355</v>
      </c>
      <c r="L15" s="210"/>
      <c r="M15" s="210"/>
      <c r="N15" s="213"/>
    </row>
    <row r="16" spans="2:19" ht="17.100000000000001" thickBot="1">
      <c r="B16" s="294" t="s">
        <v>379</v>
      </c>
      <c r="C16" s="9"/>
      <c r="D16" s="75">
        <f>SUM('ICU_cargo MASTER INPUT SHEET'!I86:I91)</f>
        <v>12747.910573061765</v>
      </c>
      <c r="E16" s="209" t="s">
        <v>38</v>
      </c>
      <c r="F16" s="75">
        <f>SUM('ICU_cargo MASTER INPUT SHEET'!K86:K91)</f>
        <v>648454.80000000005</v>
      </c>
      <c r="G16" s="295" t="s">
        <v>38</v>
      </c>
      <c r="H16" s="219"/>
      <c r="J16" s="215">
        <f>SUM(J3:J15)</f>
        <v>1</v>
      </c>
      <c r="K16" s="215">
        <f>SUM(K3:K15)</f>
        <v>1</v>
      </c>
      <c r="L16" s="215"/>
      <c r="M16" s="215"/>
      <c r="N16" s="9"/>
      <c r="O16" s="9"/>
      <c r="P16" s="9"/>
      <c r="Q16" s="9"/>
      <c r="R16" s="9"/>
    </row>
    <row r="17" spans="2:19" ht="17.100000000000001" thickBot="1">
      <c r="B17" s="296" t="s">
        <v>382</v>
      </c>
      <c r="C17" s="297"/>
      <c r="D17" s="298">
        <f>D15+D16</f>
        <v>52743.667228154365</v>
      </c>
      <c r="E17" s="299"/>
      <c r="F17" s="298">
        <f>F15+F16</f>
        <v>1165246.8</v>
      </c>
      <c r="G17" s="300"/>
      <c r="K17" s="9"/>
      <c r="L17" s="9"/>
      <c r="M17" s="9"/>
      <c r="N17" s="9"/>
      <c r="O17" s="9"/>
      <c r="P17" s="9"/>
      <c r="Q17" s="9"/>
      <c r="R17" s="9"/>
    </row>
    <row r="18" spans="2:19">
      <c r="K18" s="9"/>
      <c r="L18" s="9"/>
      <c r="M18" s="9"/>
      <c r="N18" s="9"/>
      <c r="Q18" s="9"/>
      <c r="R18" s="9"/>
    </row>
    <row r="19" spans="2:19">
      <c r="K19" s="213"/>
      <c r="L19" s="213"/>
      <c r="M19" s="213"/>
    </row>
    <row r="20" spans="2:19" ht="30" customHeight="1" thickBot="1">
      <c r="J20" s="208" t="s">
        <v>385</v>
      </c>
      <c r="K20" s="208" t="s">
        <v>386</v>
      </c>
      <c r="L20" s="208" t="s">
        <v>356</v>
      </c>
      <c r="M20" s="208" t="s">
        <v>357</v>
      </c>
    </row>
    <row r="21" spans="2:19" ht="32.1">
      <c r="B21" s="268"/>
      <c r="C21" s="265" t="s">
        <v>352</v>
      </c>
      <c r="D21" s="265" t="s">
        <v>387</v>
      </c>
      <c r="E21" s="266" t="s">
        <v>354</v>
      </c>
      <c r="F21" s="267" t="s">
        <v>355</v>
      </c>
      <c r="J21" s="216">
        <f>InMcMurdo!$C$116</f>
        <v>9962.1232638888905</v>
      </c>
      <c r="K21" s="216">
        <f>InMcMurdo!$D$116</f>
        <v>121001</v>
      </c>
      <c r="L21" s="217">
        <f>J21/$D$17</f>
        <v>0.18887809262096869</v>
      </c>
      <c r="M21" s="217">
        <f>K21/$K$26</f>
        <v>0.10384152095504574</v>
      </c>
      <c r="O21" s="335"/>
      <c r="P21" s="327" t="s">
        <v>352</v>
      </c>
      <c r="Q21" s="327" t="s">
        <v>387</v>
      </c>
      <c r="R21" s="328" t="s">
        <v>354</v>
      </c>
      <c r="S21" s="329" t="s">
        <v>355</v>
      </c>
    </row>
    <row r="22" spans="2:19">
      <c r="B22" s="269" t="s">
        <v>59</v>
      </c>
      <c r="C22" s="240">
        <f>SUM('ICU_cargo MASTER INPUT SHEET'!I7:I9)</f>
        <v>1636.9565972222224</v>
      </c>
      <c r="D22" s="270">
        <f t="shared" ref="D22:D32" si="8">C22/$C$33</f>
        <v>4.0928256748301604E-2</v>
      </c>
      <c r="E22" s="240">
        <f>SUM('ICU_cargo MASTER INPUT SHEET'!K7:K9)</f>
        <v>13968</v>
      </c>
      <c r="F22" s="271">
        <f t="shared" ref="F22:F32" si="9">E22/$E$33</f>
        <v>2.7028282171550642E-2</v>
      </c>
      <c r="J22" s="216">
        <f>'FY22 inter'!$C$116</f>
        <v>7246.5740740740748</v>
      </c>
      <c r="K22" s="216">
        <f>'FY22 inter'!$D$116</f>
        <v>73515</v>
      </c>
      <c r="L22" s="217">
        <f>J22/$D$17</f>
        <v>0.13739230612705447</v>
      </c>
      <c r="M22" s="217">
        <f>K22/$K$26</f>
        <v>6.3089639036125217E-2</v>
      </c>
      <c r="O22" s="338" t="str">
        <f>B22</f>
        <v>Firn Drill</v>
      </c>
      <c r="P22" s="207">
        <f>C22</f>
        <v>1636.9565972222224</v>
      </c>
      <c r="Q22" s="330">
        <f>P22/$P$30</f>
        <v>4.0928256748301604E-2</v>
      </c>
      <c r="R22" s="207">
        <f t="shared" ref="R22:R24" si="10">E22</f>
        <v>13968</v>
      </c>
      <c r="S22" s="331">
        <f>R22/$R$30</f>
        <v>2.7028282171550642E-2</v>
      </c>
    </row>
    <row r="23" spans="2:19">
      <c r="B23" s="269" t="s">
        <v>388</v>
      </c>
      <c r="C23" s="240">
        <f>'ICU_cargo MASTER INPUT SHEET'!I23+'ICU_cargo MASTER INPUT SHEET'!I29+'ICU_cargo MASTER INPUT SHEET'!I30</f>
        <v>1194.6666666666665</v>
      </c>
      <c r="D23" s="270">
        <f t="shared" si="8"/>
        <v>2.9869835367011401E-2</v>
      </c>
      <c r="E23" s="240">
        <f>'ICU_cargo MASTER INPUT SHEET'!K23+'ICU_cargo MASTER INPUT SHEET'!K29+'ICU_cargo MASTER INPUT SHEET'!K30</f>
        <v>7800</v>
      </c>
      <c r="F23" s="271">
        <f t="shared" si="9"/>
        <v>1.5093112896484465E-2</v>
      </c>
      <c r="J23" s="216">
        <f>'FY23 inter'!$C$116</f>
        <v>9729.4936004399369</v>
      </c>
      <c r="K23" s="216">
        <f>'FY23 inter'!$D$116</f>
        <v>111629.40000000001</v>
      </c>
      <c r="L23" s="217">
        <f>J23/$D$17</f>
        <v>0.18446752210749523</v>
      </c>
      <c r="M23" s="217">
        <f>K23/$K$26</f>
        <v>9.5798932895589162E-2</v>
      </c>
      <c r="O23" s="336" t="str">
        <f t="shared" ref="O23:O24" si="11">B23</f>
        <v>Rodwell Drill and System</v>
      </c>
      <c r="P23" s="207">
        <f>C23</f>
        <v>1194.6666666666665</v>
      </c>
      <c r="Q23" s="330">
        <f t="shared" ref="Q23:Q30" si="12">P23/$P$30</f>
        <v>2.9869835367011401E-2</v>
      </c>
      <c r="R23" s="207">
        <f t="shared" si="10"/>
        <v>7800</v>
      </c>
      <c r="S23" s="331">
        <f t="shared" ref="S23:S30" si="13">R23/$R$30</f>
        <v>1.5093112896484465E-2</v>
      </c>
    </row>
    <row r="24" spans="2:19">
      <c r="B24" s="269" t="s">
        <v>389</v>
      </c>
      <c r="C24" s="240">
        <f>SUM('ICU_cargo MASTER INPUT SHEET'!I2:I4)+'ICU_cargo MASTER INPUT SHEET'!I6+SUM('ICU_cargo MASTER INPUT SHEET'!I11:I12)+SUM('ICU_cargo MASTER INPUT SHEET'!I14:I16)</f>
        <v>10892</v>
      </c>
      <c r="D24" s="270">
        <f t="shared" si="8"/>
        <v>0.27232888963517432</v>
      </c>
      <c r="E24" s="240">
        <f>SUM('ICU_cargo MASTER INPUT SHEET'!K2:K4)+'ICU_cargo MASTER INPUT SHEET'!K6+SUM('ICU_cargo MASTER INPUT SHEET'!K11:K12)+SUM('ICU_cargo MASTER INPUT SHEET'!K14:K16)</f>
        <v>104595</v>
      </c>
      <c r="F24" s="271">
        <f t="shared" si="9"/>
        <v>0.20239283889843496</v>
      </c>
      <c r="J24" s="216">
        <f>'FY24 inter'!$C$116</f>
        <v>11847.210457365582</v>
      </c>
      <c r="K24" s="216">
        <f>'FY24 inter'!$D$116</f>
        <v>319116.80000000005</v>
      </c>
      <c r="L24" s="217">
        <f>J24/$D$17</f>
        <v>0.22461863347722599</v>
      </c>
      <c r="M24" s="217">
        <f>K24/$K$26</f>
        <v>0.27386198357292207</v>
      </c>
      <c r="O24" s="336" t="str">
        <f t="shared" si="11"/>
        <v>Generators, HPU, fuel tower</v>
      </c>
      <c r="P24" s="207">
        <f>C24</f>
        <v>10892</v>
      </c>
      <c r="Q24" s="330">
        <f t="shared" si="12"/>
        <v>0.27232888963517432</v>
      </c>
      <c r="R24" s="207">
        <f t="shared" si="10"/>
        <v>104595</v>
      </c>
      <c r="S24" s="331">
        <f t="shared" si="13"/>
        <v>0.20239283889843496</v>
      </c>
    </row>
    <row r="25" spans="2:19">
      <c r="B25" s="269" t="s">
        <v>390</v>
      </c>
      <c r="C25" s="240">
        <f>SUM('ICU_cargo MASTER INPUT SHEET'!I17:I18) +'ICU_cargo MASTER INPUT SHEET'!I31</f>
        <v>4839.3703703703713</v>
      </c>
      <c r="D25" s="270">
        <f t="shared" si="8"/>
        <v>0.12099709506943862</v>
      </c>
      <c r="E25" s="240">
        <f>SUM('ICU_cargo MASTER INPUT SHEET'!K17:K18) +'ICU_cargo MASTER INPUT SHEET'!K31</f>
        <v>56767</v>
      </c>
      <c r="F25" s="271">
        <f t="shared" si="9"/>
        <v>0.10984496664035047</v>
      </c>
      <c r="J25" s="216">
        <f>'FY25 inter'!$C$116</f>
        <v>13958.265832385872</v>
      </c>
      <c r="K25" s="216">
        <f>'FY25 inter'!$D$116</f>
        <v>539984.6</v>
      </c>
      <c r="L25" s="217">
        <f>J25/$D$17</f>
        <v>0.26464344566725545</v>
      </c>
      <c r="M25" s="217">
        <f>K25/$K$26</f>
        <v>0.46340792354031779</v>
      </c>
      <c r="O25" s="336" t="s">
        <v>391</v>
      </c>
      <c r="P25" s="207">
        <f>C25+C27</f>
        <v>5191.3703703703713</v>
      </c>
      <c r="Q25" s="330">
        <f t="shared" si="12"/>
        <v>0.12979802870436161</v>
      </c>
      <c r="R25" s="207">
        <f t="shared" ref="R25" si="14">E25+E27</f>
        <v>60547</v>
      </c>
      <c r="S25" s="331">
        <f t="shared" si="13"/>
        <v>0.11715932135172372</v>
      </c>
    </row>
    <row r="26" spans="2:19">
      <c r="B26" s="269" t="s">
        <v>392</v>
      </c>
      <c r="C26" s="240">
        <f>'ICU_cargo MASTER INPUT SHEET'!I33+'ICU_cargo MASTER INPUT SHEET'!I25+'ICU_cargo MASTER INPUT SHEET'!I24</f>
        <v>1293.7037037037037</v>
      </c>
      <c r="D26" s="270">
        <f t="shared" si="8"/>
        <v>3.2346023975995425E-2</v>
      </c>
      <c r="E26" s="240">
        <f>'ICU_cargo MASTER INPUT SHEET'!K33+'ICU_cargo MASTER INPUT SHEET'!K25+'ICU_cargo MASTER INPUT SHEET'!K24</f>
        <v>20300</v>
      </c>
      <c r="F26" s="271">
        <f t="shared" si="9"/>
        <v>3.9280793820337778E-2</v>
      </c>
      <c r="J26" s="218">
        <f>SUM(J21:J25)</f>
        <v>52743.667228154351</v>
      </c>
      <c r="K26" s="218">
        <f>SUM(K21:K25)</f>
        <v>1165246.8</v>
      </c>
      <c r="L26" s="212">
        <f>SUM(L21:L25)</f>
        <v>0.99999999999999978</v>
      </c>
      <c r="M26" s="212">
        <f>SUM(M21:M25)</f>
        <v>1</v>
      </c>
      <c r="O26" s="336" t="s">
        <v>392</v>
      </c>
      <c r="P26" s="207">
        <f>C26</f>
        <v>1293.7037037037037</v>
      </c>
      <c r="Q26" s="330">
        <f t="shared" si="12"/>
        <v>3.2346023975995425E-2</v>
      </c>
      <c r="R26" s="207">
        <f t="shared" ref="R26" si="15">E26</f>
        <v>20300</v>
      </c>
      <c r="S26" s="331">
        <f t="shared" si="13"/>
        <v>3.9280793820337778E-2</v>
      </c>
    </row>
    <row r="27" spans="2:19" ht="15.95">
      <c r="B27" s="269" t="s">
        <v>393</v>
      </c>
      <c r="C27" s="240">
        <f>'ICU_cargo MASTER INPUT SHEET'!I10+SUM('ICU_cargo MASTER INPUT SHEET'!I40:I42)</f>
        <v>352</v>
      </c>
      <c r="D27" s="270">
        <f t="shared" si="8"/>
        <v>8.8009336349230034E-3</v>
      </c>
      <c r="E27" s="240">
        <f>'ICU_cargo MASTER INPUT SHEET'!K10+SUM('ICU_cargo MASTER INPUT SHEET'!K40:K42)</f>
        <v>3780</v>
      </c>
      <c r="F27" s="271">
        <f t="shared" si="9"/>
        <v>7.314354711373241E-3</v>
      </c>
      <c r="J27" s="216"/>
      <c r="K27" s="216"/>
      <c r="L27" s="217"/>
      <c r="M27" s="217"/>
      <c r="O27" s="339" t="s">
        <v>394</v>
      </c>
      <c r="P27" s="207">
        <f>C28+C30+C29</f>
        <v>5382.6973379629635</v>
      </c>
      <c r="Q27" s="330">
        <f t="shared" si="12"/>
        <v>0.13458171036445671</v>
      </c>
      <c r="R27" s="207">
        <f t="shared" ref="R27" si="16">E28+E30+E29</f>
        <v>78868</v>
      </c>
      <c r="S27" s="331">
        <f t="shared" si="13"/>
        <v>0.15261072152819702</v>
      </c>
    </row>
    <row r="28" spans="2:19">
      <c r="B28" s="269" t="s">
        <v>395</v>
      </c>
      <c r="C28" s="240">
        <f>'ICU_cargo MASTER INPUT SHEET'!I35+'ICU_cargo MASTER INPUT SHEET'!I36</f>
        <v>459.1880787037037</v>
      </c>
      <c r="D28" s="270">
        <f t="shared" si="8"/>
        <v>1.1480919905167889E-2</v>
      </c>
      <c r="E28" s="240">
        <f>'ICU_cargo MASTER INPUT SHEET'!K35+'ICU_cargo MASTER INPUT SHEET'!K36</f>
        <v>9835</v>
      </c>
      <c r="F28" s="271">
        <f t="shared" si="9"/>
        <v>1.9030867350887784E-2</v>
      </c>
      <c r="J28" s="216"/>
      <c r="K28" s="216"/>
      <c r="L28" s="217"/>
      <c r="M28" s="217"/>
      <c r="O28" s="340" t="s">
        <v>396</v>
      </c>
      <c r="P28" s="341">
        <f>SUM(P22:P27)</f>
        <v>25591.394675925927</v>
      </c>
      <c r="Q28" s="342">
        <f t="shared" si="12"/>
        <v>0.63985274479530108</v>
      </c>
      <c r="R28" s="341">
        <f t="shared" ref="R28" si="17">SUM(R22:R27)</f>
        <v>286078</v>
      </c>
      <c r="S28" s="343">
        <f t="shared" si="13"/>
        <v>0.55356507066672855</v>
      </c>
    </row>
    <row r="29" spans="2:19">
      <c r="B29" s="269" t="s">
        <v>397</v>
      </c>
      <c r="C29" s="240">
        <f>SUM('ICU_cargo MASTER INPUT SHEET'!I20:I22)+'ICU_cargo MASTER INPUT SHEET'!I26+SUM('ICU_cargo MASTER INPUT SHEET'!I37:I39)+'ICU_cargo MASTER INPUT SHEET'!I43</f>
        <v>4149.3333333333339</v>
      </c>
      <c r="D29" s="270">
        <f t="shared" si="8"/>
        <v>0.10374433890863784</v>
      </c>
      <c r="E29" s="240">
        <f>SUM('ICU_cargo MASTER INPUT SHEET'!K20:K22)+'ICU_cargo MASTER INPUT SHEET'!K26+SUM('ICU_cargo MASTER INPUT SHEET'!K37:K39)+'ICU_cargo MASTER INPUT SHEET'!K43</f>
        <v>55880</v>
      </c>
      <c r="F29" s="271">
        <f t="shared" si="9"/>
        <v>0.10812860880199383</v>
      </c>
      <c r="J29" s="216"/>
      <c r="K29" s="216"/>
      <c r="L29" s="217"/>
      <c r="M29" s="217"/>
      <c r="O29" s="337" t="s">
        <v>398</v>
      </c>
      <c r="P29" s="332">
        <f>C32</f>
        <v>14404.361979166668</v>
      </c>
      <c r="Q29" s="333">
        <f t="shared" si="12"/>
        <v>0.36014725520469887</v>
      </c>
      <c r="R29" s="332">
        <f t="shared" ref="R29" si="18">E32</f>
        <v>230714</v>
      </c>
      <c r="S29" s="334">
        <f t="shared" si="13"/>
        <v>0.44643492933327139</v>
      </c>
    </row>
    <row r="30" spans="2:19" ht="15.95" thickBot="1">
      <c r="B30" s="325" t="s">
        <v>399</v>
      </c>
      <c r="C30" s="272">
        <f>'ICU_cargo MASTER INPUT SHEET'!I5+'ICU_cargo MASTER INPUT SHEET'!I32</f>
        <v>774.17592592592587</v>
      </c>
      <c r="D30" s="273">
        <f t="shared" si="8"/>
        <v>1.9356451550650966E-2</v>
      </c>
      <c r="E30" s="272">
        <f>'ICU_cargo MASTER INPUT SHEET'!K5+'ICU_cargo MASTER INPUT SHEET'!K32</f>
        <v>13153</v>
      </c>
      <c r="F30" s="274">
        <f t="shared" si="9"/>
        <v>2.5451245375315408E-2</v>
      </c>
      <c r="J30" s="216">
        <f>'FY23 intra'!$C$116</f>
        <v>11173.701933773271</v>
      </c>
      <c r="K30" s="216">
        <f>'FY23 intra'!$D$116</f>
        <v>150540.4</v>
      </c>
      <c r="L30" s="217">
        <f>J30/$D$17</f>
        <v>0.21184916637364176</v>
      </c>
      <c r="M30" s="217">
        <f>K30/$K$26</f>
        <v>0.12919185875472902</v>
      </c>
      <c r="O30" s="344" t="s">
        <v>377</v>
      </c>
      <c r="P30" s="345">
        <f>SUM(P28:P29)</f>
        <v>39995.756655092599</v>
      </c>
      <c r="Q30" s="346">
        <f t="shared" si="12"/>
        <v>1</v>
      </c>
      <c r="R30" s="345">
        <f t="shared" ref="R30" si="19">SUM(R28:R29)</f>
        <v>516792</v>
      </c>
      <c r="S30" s="347">
        <f t="shared" si="13"/>
        <v>1</v>
      </c>
    </row>
    <row r="31" spans="2:19">
      <c r="B31" s="322" t="s">
        <v>400</v>
      </c>
      <c r="C31" s="314">
        <f>SUM(C22:C30)</f>
        <v>25591.394675925927</v>
      </c>
      <c r="D31" s="323">
        <f t="shared" si="8"/>
        <v>0.63985274479530108</v>
      </c>
      <c r="E31" s="314">
        <f>SUM(E22:E30)</f>
        <v>286078</v>
      </c>
      <c r="F31" s="324">
        <f t="shared" si="9"/>
        <v>0.55356507066672855</v>
      </c>
      <c r="J31" s="216">
        <f>'FY24 intra'!$C$116</f>
        <v>23198.708142550771</v>
      </c>
      <c r="K31" s="216">
        <f>'FY24 intra'!$D$116</f>
        <v>359359.80000000005</v>
      </c>
      <c r="L31" s="217">
        <f>J31/$D$17</f>
        <v>0.43983874011262136</v>
      </c>
      <c r="M31" s="217">
        <f>K31/$K$26</f>
        <v>0.30839801490980284</v>
      </c>
    </row>
    <row r="32" spans="2:19">
      <c r="B32" s="322" t="s">
        <v>398</v>
      </c>
      <c r="C32" s="314">
        <f>SUM(D3:D12)</f>
        <v>14404.361979166668</v>
      </c>
      <c r="D32" s="323">
        <f t="shared" si="8"/>
        <v>0.36014725520469887</v>
      </c>
      <c r="E32" s="314">
        <f>SUM(F3:F12)</f>
        <v>230714</v>
      </c>
      <c r="F32" s="324">
        <f t="shared" si="9"/>
        <v>0.44643492933327139</v>
      </c>
      <c r="J32" s="216">
        <f>'FY25 intra'!$C$116</f>
        <v>18371.257151830312</v>
      </c>
      <c r="K32" s="216">
        <f>'FY25 intra'!$D$116</f>
        <v>655346.6</v>
      </c>
      <c r="L32" s="217">
        <f>J32/$D$17</f>
        <v>0.34831209351373671</v>
      </c>
      <c r="M32" s="217">
        <f>K32/$K$26</f>
        <v>0.56241012633546816</v>
      </c>
    </row>
    <row r="33" spans="2:13" ht="15.95" thickBot="1">
      <c r="B33" s="326" t="s">
        <v>377</v>
      </c>
      <c r="C33" s="275">
        <f>SUM(C31:C32)</f>
        <v>39995.756655092599</v>
      </c>
      <c r="D33" s="276">
        <f>SUM(D31:D32)</f>
        <v>1</v>
      </c>
      <c r="E33" s="275">
        <f t="shared" ref="E33:F33" si="20">SUM(E31:E32)</f>
        <v>516792</v>
      </c>
      <c r="F33" s="277">
        <f t="shared" si="20"/>
        <v>1</v>
      </c>
      <c r="J33" s="218">
        <f>SUM(J30:J32)</f>
        <v>52743.667228154358</v>
      </c>
      <c r="K33" s="218">
        <f>SUM(K30:K32)</f>
        <v>1165246.8</v>
      </c>
      <c r="L33" s="212">
        <f t="shared" ref="L33:M33" si="21">SUM(L30:L32)</f>
        <v>0.99999999999999978</v>
      </c>
      <c r="M33" s="212">
        <f t="shared" si="21"/>
        <v>1</v>
      </c>
    </row>
    <row r="34" spans="2:13" ht="15.95" thickBot="1"/>
    <row r="35" spans="2:13" ht="32.1">
      <c r="B35" s="359"/>
      <c r="C35" s="327" t="s">
        <v>352</v>
      </c>
      <c r="D35" s="327" t="s">
        <v>387</v>
      </c>
      <c r="E35" s="328" t="s">
        <v>354</v>
      </c>
      <c r="F35" s="329" t="s">
        <v>355</v>
      </c>
    </row>
    <row r="36" spans="2:13">
      <c r="B36" s="336" t="s">
        <v>401</v>
      </c>
      <c r="C36" s="240">
        <f>P4+P5</f>
        <v>6097.7178819444453</v>
      </c>
      <c r="D36" s="354">
        <f t="shared" ref="D36:F36" si="22">Q4+Q5</f>
        <v>0.15245912046442137</v>
      </c>
      <c r="E36" s="240">
        <f t="shared" si="22"/>
        <v>73027</v>
      </c>
      <c r="F36" s="355">
        <f t="shared" si="22"/>
        <v>0.14130830198609887</v>
      </c>
    </row>
    <row r="37" spans="2:13">
      <c r="B37" s="336" t="s">
        <v>402</v>
      </c>
      <c r="C37" s="240">
        <f>P3+P7</f>
        <v>6594.6440972222226</v>
      </c>
      <c r="D37" s="354">
        <f t="shared" ref="D37:F37" si="23">Q3+Q7</f>
        <v>0.16488359387951565</v>
      </c>
      <c r="E37" s="240">
        <f t="shared" si="23"/>
        <v>140612</v>
      </c>
      <c r="F37" s="355">
        <f t="shared" si="23"/>
        <v>0.27208625520518892</v>
      </c>
    </row>
    <row r="38" spans="2:13">
      <c r="B38" s="336" t="s">
        <v>403</v>
      </c>
      <c r="C38" s="240">
        <f>P6</f>
        <v>1280</v>
      </c>
      <c r="D38" s="354">
        <f t="shared" ref="D38:F38" si="24">Q6</f>
        <v>3.2003395036083647E-2</v>
      </c>
      <c r="E38" s="240">
        <f t="shared" si="24"/>
        <v>12000</v>
      </c>
      <c r="F38" s="355">
        <f t="shared" si="24"/>
        <v>2.3220173686899177E-2</v>
      </c>
    </row>
    <row r="39" spans="2:13">
      <c r="B39" s="336" t="s">
        <v>378</v>
      </c>
      <c r="C39" s="240">
        <f>P8</f>
        <v>432</v>
      </c>
      <c r="D39" s="354">
        <f t="shared" ref="D39:F39" si="25">Q8</f>
        <v>1.0801145824678232E-2</v>
      </c>
      <c r="E39" s="240">
        <f t="shared" si="25"/>
        <v>5075</v>
      </c>
      <c r="F39" s="355">
        <f t="shared" si="25"/>
        <v>9.8201984550844446E-3</v>
      </c>
    </row>
    <row r="40" spans="2:13">
      <c r="B40" s="336" t="s">
        <v>404</v>
      </c>
      <c r="C40" s="240">
        <f>P22+P23</f>
        <v>2831.6232638888887</v>
      </c>
      <c r="D40" s="354">
        <f t="shared" ref="D40:F40" si="26">Q22+Q23</f>
        <v>7.0798092115313002E-2</v>
      </c>
      <c r="E40" s="240">
        <f t="shared" si="26"/>
        <v>21768</v>
      </c>
      <c r="F40" s="355">
        <f t="shared" si="26"/>
        <v>4.2121395068035111E-2</v>
      </c>
    </row>
    <row r="41" spans="2:13">
      <c r="B41" s="336" t="s">
        <v>389</v>
      </c>
      <c r="C41" s="240">
        <f>P24</f>
        <v>10892</v>
      </c>
      <c r="D41" s="354">
        <f t="shared" ref="D41:F41" si="27">Q24</f>
        <v>0.27232888963517432</v>
      </c>
      <c r="E41" s="240">
        <f t="shared" si="27"/>
        <v>104595</v>
      </c>
      <c r="F41" s="355">
        <f t="shared" si="27"/>
        <v>0.20239283889843496</v>
      </c>
    </row>
    <row r="42" spans="2:13">
      <c r="B42" s="336" t="s">
        <v>405</v>
      </c>
      <c r="C42" s="240">
        <f>P25+P26</f>
        <v>6485.0740740740748</v>
      </c>
      <c r="D42" s="354">
        <f t="shared" ref="D42:F42" si="28">Q25+Q26</f>
        <v>0.16214405268035703</v>
      </c>
      <c r="E42" s="240">
        <f t="shared" si="28"/>
        <v>80847</v>
      </c>
      <c r="F42" s="355">
        <f t="shared" si="28"/>
        <v>0.15644011517206149</v>
      </c>
    </row>
    <row r="43" spans="2:13">
      <c r="B43" s="336" t="s">
        <v>406</v>
      </c>
      <c r="C43" s="240">
        <f>P27</f>
        <v>5382.6973379629635</v>
      </c>
      <c r="D43" s="354">
        <f t="shared" ref="D43:F43" si="29">Q27</f>
        <v>0.13458171036445671</v>
      </c>
      <c r="E43" s="240">
        <f t="shared" si="29"/>
        <v>78868</v>
      </c>
      <c r="F43" s="355">
        <f t="shared" si="29"/>
        <v>0.15261072152819702</v>
      </c>
    </row>
    <row r="44" spans="2:13" ht="15.95" thickBot="1">
      <c r="B44" s="360" t="s">
        <v>377</v>
      </c>
      <c r="C44" s="356">
        <f>SUM(C36:C43)</f>
        <v>39995.756655092591</v>
      </c>
      <c r="D44" s="357">
        <f>SUM(D36:D43)</f>
        <v>1</v>
      </c>
      <c r="E44" s="356">
        <f t="shared" ref="E44" si="30">SUM(E36:E43)</f>
        <v>516792</v>
      </c>
      <c r="F44" s="358">
        <f>SUM(F36:F43)</f>
        <v>1</v>
      </c>
    </row>
    <row r="52" spans="1:7">
      <c r="C52" s="213"/>
      <c r="D52" s="240"/>
      <c r="E52" s="213"/>
      <c r="F52" s="213"/>
    </row>
    <row r="53" spans="1:7">
      <c r="A53" s="364"/>
      <c r="B53" s="364"/>
      <c r="C53" s="364"/>
      <c r="D53" s="365"/>
      <c r="E53" s="364"/>
      <c r="F53" s="364"/>
      <c r="G53" s="364"/>
    </row>
    <row r="54" spans="1:7" ht="32.1">
      <c r="A54" s="364"/>
      <c r="B54" s="361" t="s">
        <v>407</v>
      </c>
      <c r="C54" s="256" t="s">
        <v>352</v>
      </c>
      <c r="D54" s="258" t="s">
        <v>387</v>
      </c>
      <c r="E54" s="257" t="s">
        <v>354</v>
      </c>
      <c r="F54" s="259" t="s">
        <v>355</v>
      </c>
      <c r="G54" s="364"/>
    </row>
    <row r="55" spans="1:7">
      <c r="A55" s="364"/>
      <c r="B55" s="366" t="s">
        <v>408</v>
      </c>
      <c r="C55" s="367">
        <f>'FY22 inter'!$C$116</f>
        <v>7246.5740740740748</v>
      </c>
      <c r="D55" s="368">
        <f>C55/$C$59</f>
        <v>0.24128196477874245</v>
      </c>
      <c r="E55" s="367">
        <f>'FY22 inter'!$D$116</f>
        <v>73515</v>
      </c>
      <c r="F55" s="369">
        <f>E55/$E$59</f>
        <v>0.1857419698780417</v>
      </c>
      <c r="G55" s="364"/>
    </row>
    <row r="56" spans="1:7">
      <c r="A56" s="364"/>
      <c r="B56" s="366" t="s">
        <v>409</v>
      </c>
      <c r="C56" s="367">
        <f>'FY23 inter'!$C$116-'FY23 inter'!I86-'FY23 inter'!I87</f>
        <v>9242.4953703703704</v>
      </c>
      <c r="D56" s="368">
        <f t="shared" ref="D56:D58" si="31">C56/$C$59</f>
        <v>0.3077381697373095</v>
      </c>
      <c r="E56" s="367">
        <f>'FY23 inter'!$D$116-'FY23 inter'!K86-'FY23 inter'!K87</f>
        <v>86857</v>
      </c>
      <c r="F56" s="369">
        <f t="shared" ref="F56:F58" si="32">E56/$E$59</f>
        <v>0.21945168030602011</v>
      </c>
      <c r="G56" s="364"/>
    </row>
    <row r="57" spans="1:7">
      <c r="A57" s="364"/>
      <c r="B57" s="366" t="s">
        <v>410</v>
      </c>
      <c r="C57" s="367">
        <f>'FY24 inter'!$C$116-'FY24 inter'!I89-'FY24 inter'!I88</f>
        <v>9099.9415509259234</v>
      </c>
      <c r="D57" s="368">
        <f t="shared" si="31"/>
        <v>0.30299169708820939</v>
      </c>
      <c r="E57" s="367">
        <f>'FY24 inter'!$D$116-'FY24 inter'!K88-'FY24 inter'!K89</f>
        <v>179370.00000000006</v>
      </c>
      <c r="F57" s="369">
        <f t="shared" si="32"/>
        <v>0.45319373103481397</v>
      </c>
      <c r="G57" s="364"/>
    </row>
    <row r="58" spans="1:7">
      <c r="A58" s="364"/>
      <c r="B58" s="366" t="s">
        <v>411</v>
      </c>
      <c r="C58" s="367">
        <f>'FY25 inter'!$C$116-'FY25 inter'!I90-'FY25 inter'!I91</f>
        <v>4444.622395833333</v>
      </c>
      <c r="D58" s="368">
        <f t="shared" si="31"/>
        <v>0.14798816839573867</v>
      </c>
      <c r="E58" s="367">
        <f>'FY25 inter'!$D$116-'FY25 inter'!K90-'FY25 inter'!K91</f>
        <v>56048.999999999964</v>
      </c>
      <c r="F58" s="369">
        <f t="shared" si="32"/>
        <v>0.1416126187811243</v>
      </c>
      <c r="G58" s="364"/>
    </row>
    <row r="59" spans="1:7">
      <c r="A59" s="364"/>
      <c r="B59" s="370" t="s">
        <v>377</v>
      </c>
      <c r="C59" s="373">
        <f>SUM(C55:C58)</f>
        <v>30033.633391203701</v>
      </c>
      <c r="D59" s="375">
        <f>SUM(D55:D58)</f>
        <v>1</v>
      </c>
      <c r="E59" s="376">
        <f>SUM(E55:E58)</f>
        <v>395791</v>
      </c>
      <c r="F59" s="377">
        <f>SUM(F55:F58)</f>
        <v>1</v>
      </c>
      <c r="G59" s="364"/>
    </row>
    <row r="60" spans="1:7">
      <c r="A60" s="364"/>
      <c r="B60" s="366" t="s">
        <v>412</v>
      </c>
      <c r="C60" s="367">
        <f>InMcMurdo!$C$116</f>
        <v>9962.1232638888905</v>
      </c>
      <c r="D60" s="368"/>
      <c r="E60" s="367">
        <f>InMcMurdo!$D$116</f>
        <v>121001</v>
      </c>
      <c r="F60" s="369"/>
      <c r="G60" s="364"/>
    </row>
    <row r="61" spans="1:7">
      <c r="A61" s="364"/>
      <c r="B61" s="378" t="s">
        <v>413</v>
      </c>
      <c r="C61" s="379">
        <f>C60+C59</f>
        <v>39995.756655092591</v>
      </c>
      <c r="D61" s="380"/>
      <c r="E61" s="380">
        <f t="shared" ref="E61" si="33">E60+E59</f>
        <v>516792</v>
      </c>
      <c r="F61" s="381"/>
      <c r="G61" s="364"/>
    </row>
    <row r="62" spans="1:7">
      <c r="A62" s="364"/>
      <c r="G62" s="364"/>
    </row>
    <row r="63" spans="1:7" ht="32.1">
      <c r="A63" s="364"/>
      <c r="B63" s="264" t="s">
        <v>414</v>
      </c>
      <c r="C63" s="260" t="s">
        <v>352</v>
      </c>
      <c r="D63" s="262" t="s">
        <v>387</v>
      </c>
      <c r="E63" s="261" t="s">
        <v>354</v>
      </c>
      <c r="F63" s="263" t="s">
        <v>355</v>
      </c>
      <c r="G63" s="364"/>
    </row>
    <row r="64" spans="1:7">
      <c r="A64" s="364"/>
      <c r="B64" s="366" t="s">
        <v>415</v>
      </c>
      <c r="C64" s="367">
        <f>'FY23 intra'!$C$116-'FY23 intra'!I86-'FY23 intra'!I87</f>
        <v>10686.703703703704</v>
      </c>
      <c r="D64" s="368">
        <f>C64/$D$15</f>
        <v>0.26719593770563116</v>
      </c>
      <c r="E64" s="367">
        <f>'FY23 intra'!$D$116-'FY23 intra'!K86-'FY23 intra'!K87</f>
        <v>125767.99999999999</v>
      </c>
      <c r="F64" s="369">
        <f>E64/$F$15</f>
        <v>0.24336290035449462</v>
      </c>
      <c r="G64" s="364"/>
    </row>
    <row r="65" spans="1:7">
      <c r="A65" s="364"/>
      <c r="B65" s="366" t="s">
        <v>416</v>
      </c>
      <c r="C65" s="367">
        <f>'FY24 intra'!$C$116-'FY24 intra'!I88-'FY24 intra'!I89</f>
        <v>20451.439236111113</v>
      </c>
      <c r="D65" s="368">
        <f>C65/$D$15</f>
        <v>0.51134022572634752</v>
      </c>
      <c r="E65" s="367">
        <f>'FY24 intra'!$D$116-'FY24 intra'!K88-'FY24 intra'!K89</f>
        <v>219613.00000000006</v>
      </c>
      <c r="F65" s="369">
        <f>E65/$F$15</f>
        <v>0.42495433365841589</v>
      </c>
      <c r="G65" s="364"/>
    </row>
    <row r="66" spans="1:7">
      <c r="A66" s="364"/>
      <c r="B66" s="366" t="s">
        <v>417</v>
      </c>
      <c r="C66" s="367">
        <f>'FY25 intra'!$C$116-'FY25 inter'!I90-'FY25 inter'!I91</f>
        <v>8857.6137152777737</v>
      </c>
      <c r="D66" s="368">
        <f>C66/$D$15</f>
        <v>0.22146383656802121</v>
      </c>
      <c r="E66" s="367">
        <f>'FY25 intra'!$D$116-'FY25 intra'!K90-'FY25 intra'!K91</f>
        <v>171410.99999999997</v>
      </c>
      <c r="F66" s="369">
        <f>E66/$F$15</f>
        <v>0.33168276598708951</v>
      </c>
      <c r="G66" s="364"/>
    </row>
    <row r="67" spans="1:7">
      <c r="A67" s="364"/>
      <c r="B67" s="370" t="s">
        <v>377</v>
      </c>
      <c r="C67" s="371">
        <f t="shared" ref="C67" si="34">SUM(C64:C66)</f>
        <v>39995.756655092591</v>
      </c>
      <c r="D67" s="372">
        <f>SUM(D64:D66)</f>
        <v>1</v>
      </c>
      <c r="E67" s="373">
        <f>SUM(E64:E66)</f>
        <v>516792</v>
      </c>
      <c r="F67" s="374">
        <f>SUM(F64:F66)</f>
        <v>1</v>
      </c>
      <c r="G67" s="364"/>
    </row>
    <row r="68" spans="1:7">
      <c r="A68" s="364"/>
      <c r="B68" s="364"/>
      <c r="C68" s="364"/>
      <c r="D68" s="365"/>
      <c r="E68" s="364"/>
      <c r="F68" s="364"/>
      <c r="G68" s="364"/>
    </row>
    <row r="69" spans="1:7">
      <c r="A69" s="364"/>
      <c r="B69" s="278" t="s">
        <v>418</v>
      </c>
      <c r="C69" s="279">
        <f>'ICU_cargo MASTER INPUT SHEET'!I93-'ICU_cargo MASTER INPUT SHEET'!I92</f>
        <v>39995.756655092599</v>
      </c>
      <c r="D69" s="362"/>
      <c r="E69" s="363">
        <f>'ICU_cargo MASTER INPUT SHEET'!K93-'ICU_cargo MASTER INPUT SHEET'!K92</f>
        <v>516792</v>
      </c>
      <c r="F69" s="280"/>
      <c r="G69" s="364"/>
    </row>
    <row r="70" spans="1:7">
      <c r="A70" s="364"/>
      <c r="B70" s="364"/>
      <c r="C70" s="364"/>
      <c r="D70" s="365"/>
      <c r="E70" s="364"/>
      <c r="F70" s="364"/>
      <c r="G70" s="364"/>
    </row>
    <row r="80" spans="1:7">
      <c r="B80" s="241" t="s">
        <v>419</v>
      </c>
      <c r="C80" s="241" t="s">
        <v>420</v>
      </c>
      <c r="D80"/>
      <c r="E80" s="247"/>
      <c r="F80" s="245" t="s">
        <v>421</v>
      </c>
      <c r="G80" s="246" t="s">
        <v>420</v>
      </c>
    </row>
    <row r="81" spans="2:18" ht="63.95">
      <c r="B81" s="213" t="e" cm="1" vm="1">
        <f t="array" aca="1" ref="B81" ca="1">_xlfn.UNIQUE(_xlfn._xlws.FILTER('ICU_cargo MASTER INPUT SHEET'!Q3:Q1000,'ICU_cargo MASTER INPUT SHEET'!Q3:Q1000&lt;&gt;""))</f>
        <v>#VALUE!</v>
      </c>
      <c r="C81" s="240">
        <f ca="1">SUMIFS(weight_,'ICU_cargo MASTER INPUT SHEET'!Q:Q,'Summary tables'!B81)</f>
        <v>0</v>
      </c>
      <c r="D81"/>
      <c r="E81" s="244" t="s">
        <v>422</v>
      </c>
      <c r="F81" s="75">
        <f>'ICU_cargo MASTER INPUT SHEET'!I93-'ICU_cargo MASTER INPUT SHEET'!I92-'Summary tables'!F82</f>
        <v>39720.624710648153</v>
      </c>
      <c r="G81" s="75">
        <f>'ICU_cargo MASTER INPUT SHEET'!K93-'ICU_cargo MASTER INPUT SHEET'!K92-'Summary tables'!G82</f>
        <v>511849</v>
      </c>
    </row>
    <row r="82" spans="2:18" ht="80.099999999999994">
      <c r="B82" s="213"/>
      <c r="C82" s="240">
        <f>SUMIFS(weight_,'ICU_cargo MASTER INPUT SHEET'!Q:Q,'Summary tables'!B82)</f>
        <v>0</v>
      </c>
      <c r="D82"/>
      <c r="E82" s="244" t="s">
        <v>423</v>
      </c>
      <c r="F82" s="75">
        <f>'ICU_cargo MASTER INPUT SHEET'!I72+'ICU_cargo MASTER INPUT SHEET'!I73+'ICU_cargo MASTER INPUT SHEET'!I76+'ICU_cargo MASTER INPUT SHEET'!I77+'ICU_cargo MASTER INPUT SHEET'!I47</f>
        <v>275.13194444444446</v>
      </c>
      <c r="G82" s="75">
        <f>'ICU_cargo MASTER INPUT SHEET'!K72+'ICU_cargo MASTER INPUT SHEET'!K73+'ICU_cargo MASTER INPUT SHEET'!K76+'ICU_cargo MASTER INPUT SHEET'!K77+'ICU_cargo MASTER INPUT SHEET'!K47</f>
        <v>4943</v>
      </c>
    </row>
    <row r="83" spans="2:18">
      <c r="B83" s="213"/>
      <c r="C83" s="240">
        <f>SUMIFS(weight_,'ICU_cargo MASTER INPUT SHEET'!Q:Q,'Summary tables'!B83)</f>
        <v>0</v>
      </c>
      <c r="D83"/>
    </row>
    <row r="84" spans="2:18">
      <c r="B84" s="213"/>
      <c r="C84" s="240">
        <f>SUMIFS(weight_,'ICU_cargo MASTER INPUT SHEET'!Q:Q,'Summary tables'!B84)</f>
        <v>0</v>
      </c>
      <c r="D84"/>
    </row>
    <row r="85" spans="2:18">
      <c r="B85" s="213"/>
      <c r="C85" s="240">
        <f>SUMIFS(weight_,'ICU_cargo MASTER INPUT SHEET'!Q:Q,'Summary tables'!B85)</f>
        <v>0</v>
      </c>
      <c r="D85"/>
    </row>
    <row r="86" spans="2:18">
      <c r="B86" s="213"/>
      <c r="C86" s="240">
        <f>SUMIFS(weight_,'ICU_cargo MASTER INPUT SHEET'!Q:Q,'Summary tables'!B86)</f>
        <v>0</v>
      </c>
      <c r="D86"/>
    </row>
    <row r="87" spans="2:18">
      <c r="B87" s="213"/>
      <c r="C87" s="240">
        <f>SUMIFS(weight_,'ICU_cargo MASTER INPUT SHEET'!Q:Q,'Summary tables'!B87)</f>
        <v>0</v>
      </c>
      <c r="D87"/>
      <c r="R87" s="207"/>
    </row>
    <row r="88" spans="2:18">
      <c r="B88" s="214" t="s">
        <v>377</v>
      </c>
      <c r="C88" s="211">
        <f ca="1">SUM(C81:C87)</f>
        <v>0</v>
      </c>
      <c r="D88"/>
    </row>
    <row r="100" spans="2:4">
      <c r="B100" s="247" t="s">
        <v>424</v>
      </c>
      <c r="C100" s="246" t="s">
        <v>421</v>
      </c>
      <c r="D100" s="246" t="s">
        <v>420</v>
      </c>
    </row>
    <row r="101" spans="2:4">
      <c r="B101" s="248" t="str" cm="1">
        <f t="array" ref="B101:B104">_xlfn._xlws.SORT(_xlfn.UNIQUE(_xlfn._xlws.FILTER('ICU_cargo MASTER INPUT SHEET'!L2:L84, 'ICU_cargo MASTER INPUT SHEET'!L2:L84&lt;&gt;"")))</f>
        <v>actual</v>
      </c>
      <c r="C101" s="207">
        <f>SUMIFS('ICU_cargo MASTER INPUT SHEET'!$I$2:$I$84,'ICU_cargo MASTER INPUT SHEET'!$L$2:$L$84,B101)</f>
        <v>26633.130208333339</v>
      </c>
      <c r="D101" s="207">
        <f>SUMIFS('ICU_cargo MASTER INPUT SHEET'!$K$2:$K$84,'ICU_cargo MASTER INPUT SHEET'!$L$2:$L$84,B101)</f>
        <v>284876</v>
      </c>
    </row>
    <row r="102" spans="2:4">
      <c r="B102" s="248" t="str">
        <v>actual(**)</v>
      </c>
      <c r="C102" s="207">
        <f>SUMIFS('ICU_cargo MASTER INPUT SHEET'!$I$2:$I$84,'ICU_cargo MASTER INPUT SHEET'!$L$2:$L$84,B102)</f>
        <v>1891.1111111111113</v>
      </c>
      <c r="D102" s="207">
        <f>SUMIFS('ICU_cargo MASTER INPUT SHEET'!$K$2:$K$84,'ICU_cargo MASTER INPUT SHEET'!$L$2:$L$84,B102)</f>
        <v>21201</v>
      </c>
    </row>
    <row r="103" spans="2:4">
      <c r="B103" s="248" t="str">
        <v>estimated</v>
      </c>
      <c r="C103" s="207">
        <f>SUMIFS('ICU_cargo MASTER INPUT SHEET'!$I$2:$I$84,'ICU_cargo MASTER INPUT SHEET'!$L$2:$L$84,B103)</f>
        <v>6838.5138888888896</v>
      </c>
      <c r="D103" s="207">
        <f>SUMIFS('ICU_cargo MASTER INPUT SHEET'!$K$2:$K$84,'ICU_cargo MASTER INPUT SHEET'!$L$2:$L$84,B103)</f>
        <v>89770</v>
      </c>
    </row>
    <row r="104" spans="2:4">
      <c r="B104" s="249" t="str">
        <v>preliminary</v>
      </c>
      <c r="C104" s="250">
        <f>SUMIFS('ICU_cargo MASTER INPUT SHEET'!$I$2:$I$84,'ICU_cargo MASTER INPUT SHEET'!$L$2:$L$84,B104)</f>
        <v>4633.0014467592582</v>
      </c>
      <c r="D104" s="250">
        <f>SUMIFS('ICU_cargo MASTER INPUT SHEET'!$K$2:$K$84,'ICU_cargo MASTER INPUT SHEET'!$L$2:$L$84,B104)</f>
        <v>120945</v>
      </c>
    </row>
    <row r="105" spans="2:4">
      <c r="B105" s="248"/>
      <c r="C105" s="207">
        <f>SUM(C101:C104)</f>
        <v>39995.756655092599</v>
      </c>
      <c r="D105" s="207">
        <f>SUM(D101:D104)</f>
        <v>516792</v>
      </c>
    </row>
    <row r="106" spans="2:4">
      <c r="C106" s="207"/>
    </row>
    <row r="107" spans="2:4">
      <c r="B107" s="247" t="s">
        <v>424</v>
      </c>
      <c r="C107" s="246" t="s">
        <v>421</v>
      </c>
      <c r="D107" s="246" t="s">
        <v>420</v>
      </c>
    </row>
    <row r="108" spans="2:4">
      <c r="B108" s="248" t="s">
        <v>35</v>
      </c>
      <c r="C108" s="207">
        <f>C102+C101</f>
        <v>28524.241319444453</v>
      </c>
      <c r="D108" s="207">
        <f>D102+D101</f>
        <v>306077</v>
      </c>
    </row>
    <row r="109" spans="2:4">
      <c r="B109" s="248" t="s">
        <v>92</v>
      </c>
      <c r="C109" s="207">
        <f>C103</f>
        <v>6838.5138888888896</v>
      </c>
      <c r="D109" s="207">
        <f>D103</f>
        <v>89770</v>
      </c>
    </row>
    <row r="110" spans="2:4">
      <c r="B110" s="249" t="s">
        <v>180</v>
      </c>
      <c r="C110" s="250">
        <f>C104</f>
        <v>4633.0014467592582</v>
      </c>
      <c r="D110" s="250">
        <f>D104</f>
        <v>120945</v>
      </c>
    </row>
    <row r="111" spans="2:4">
      <c r="B111" s="243" t="s">
        <v>384</v>
      </c>
      <c r="C111" s="207">
        <f>SUM(C108:C110)</f>
        <v>39995.756655092599</v>
      </c>
      <c r="D111" s="207">
        <f>SUM(D108:D110)</f>
        <v>516792</v>
      </c>
    </row>
    <row r="112" spans="2:4">
      <c r="D112"/>
    </row>
    <row r="113" spans="2:4">
      <c r="D113"/>
    </row>
    <row r="114" spans="2:4">
      <c r="B114" s="247" t="s">
        <v>425</v>
      </c>
      <c r="C114" s="246" t="s">
        <v>421</v>
      </c>
      <c r="D114" s="246" t="s">
        <v>420</v>
      </c>
    </row>
    <row r="115" spans="2:4">
      <c r="B115" s="248" t="str" cm="1">
        <f t="array" ref="B115:B118">_xlfn._xlws.SORT(_xlfn.UNIQUE(_xlfn._xlws.FILTER('ICU_cargo MASTER INPUT SHEET'!L16:L98,'ICU_cargo MASTER INPUT SHEET'!L16:L98&lt;&gt;"")))</f>
        <v>actual</v>
      </c>
      <c r="C115" s="207">
        <f>SUMIFS('ICU_cargo MASTER INPUT SHEET'!$I$2:$I$84,'ICU_cargo MASTER INPUT SHEET'!$L$2:$L$84,B115,'ICU_cargo MASTER INPUT SHEET'!$B$2:$B$84, "Installation")</f>
        <v>4227.0688657407409</v>
      </c>
      <c r="D115" s="207">
        <f>SUMIFS('ICU_cargo MASTER INPUT SHEET'!$K$2:$K$84,'ICU_cargo MASTER INPUT SHEET'!$L$2:$L$84,B115, 'ICU_cargo MASTER INPUT SHEET'!$B$2:$B$84, "Installation")</f>
        <v>46598</v>
      </c>
    </row>
    <row r="116" spans="2:4">
      <c r="B116" s="248" t="str">
        <v>actual(**)</v>
      </c>
      <c r="C116" s="207">
        <f>SUMIFS('ICU_cargo MASTER INPUT SHEET'!$I$2:$I$84,'ICU_cargo MASTER INPUT SHEET'!$L$2:$L$84,B116,'ICU_cargo MASTER INPUT SHEET'!$B$2:$B$84, "Installation")</f>
        <v>1891.1111111111113</v>
      </c>
      <c r="D116" s="207">
        <f>SUMIFS('ICU_cargo MASTER INPUT SHEET'!$K$2:$K$84,'ICU_cargo MASTER INPUT SHEET'!$L$2:$L$84,B116, 'ICU_cargo MASTER INPUT SHEET'!$B$2:$B$84, "Installation")</f>
        <v>21201</v>
      </c>
    </row>
    <row r="117" spans="2:4">
      <c r="B117" s="248" t="str">
        <v>estimated</v>
      </c>
      <c r="C117" s="207">
        <f>SUMIFS('ICU_cargo MASTER INPUT SHEET'!$I$2:$I$84,'ICU_cargo MASTER INPUT SHEET'!$L$2:$L$84,B117,'ICU_cargo MASTER INPUT SHEET'!$B$2:$B$84, "Installation")</f>
        <v>3653.1805555555557</v>
      </c>
      <c r="D117" s="207">
        <f>SUMIFS('ICU_cargo MASTER INPUT SHEET'!$K$2:$K$84,'ICU_cargo MASTER INPUT SHEET'!$L$2:$L$84,B117, 'ICU_cargo MASTER INPUT SHEET'!$B$2:$B$84, "Installation")</f>
        <v>41970</v>
      </c>
    </row>
    <row r="118" spans="2:4">
      <c r="B118" s="249" t="str">
        <v>preliminary</v>
      </c>
      <c r="C118" s="253">
        <f>SUMIFS('ICU_cargo MASTER INPUT SHEET'!$I$2:$I$84,'ICU_cargo MASTER INPUT SHEET'!$L$2:$L$84,B118,'ICU_cargo MASTER INPUT SHEET'!$B$2:$B$84, "Installation")</f>
        <v>4633.0014467592582</v>
      </c>
      <c r="D118" s="250">
        <f>SUMIFS('ICU_cargo MASTER INPUT SHEET'!$K$2:$K$84,'ICU_cargo MASTER INPUT SHEET'!$L$2:$L$84,B118, 'ICU_cargo MASTER INPUT SHEET'!$B$2:$B$84, "Installation")</f>
        <v>120945</v>
      </c>
    </row>
    <row r="119" spans="2:4">
      <c r="B119" s="248"/>
      <c r="C119" s="207">
        <f>SUM(C115:C118)</f>
        <v>14404.361979166668</v>
      </c>
      <c r="D119" s="207">
        <f>SUM(D115:D118)</f>
        <v>230714</v>
      </c>
    </row>
    <row r="120" spans="2:4">
      <c r="C120" s="207"/>
    </row>
    <row r="121" spans="2:4">
      <c r="B121" s="247" t="s">
        <v>425</v>
      </c>
      <c r="C121" s="246" t="s">
        <v>421</v>
      </c>
      <c r="D121" s="246" t="s">
        <v>420</v>
      </c>
    </row>
    <row r="122" spans="2:4">
      <c r="B122" s="248" t="s">
        <v>35</v>
      </c>
      <c r="C122" s="207">
        <f>C116+C115</f>
        <v>6118.1799768518522</v>
      </c>
      <c r="D122" s="207">
        <f>D116+D115</f>
        <v>67799</v>
      </c>
    </row>
    <row r="123" spans="2:4">
      <c r="B123" s="248" t="s">
        <v>92</v>
      </c>
      <c r="C123" s="207">
        <f>C117</f>
        <v>3653.1805555555557</v>
      </c>
      <c r="D123" s="207">
        <f>D117</f>
        <v>41970</v>
      </c>
    </row>
    <row r="124" spans="2:4">
      <c r="B124" s="249" t="s">
        <v>180</v>
      </c>
      <c r="C124" s="250">
        <f>C118</f>
        <v>4633.0014467592582</v>
      </c>
      <c r="D124" s="250">
        <f>D118</f>
        <v>120945</v>
      </c>
    </row>
    <row r="125" spans="2:4">
      <c r="B125" s="243" t="s">
        <v>384</v>
      </c>
      <c r="C125" s="207">
        <f>SUM(C122:C124)</f>
        <v>14404.361979166668</v>
      </c>
      <c r="D125" s="207">
        <f>SUM(D122:D124)</f>
        <v>230714</v>
      </c>
    </row>
    <row r="126" spans="2:4">
      <c r="D126"/>
    </row>
    <row r="127" spans="2:4">
      <c r="D127"/>
    </row>
    <row r="128" spans="2:4">
      <c r="B128" s="247" t="s">
        <v>426</v>
      </c>
      <c r="C128" s="246" t="s">
        <v>421</v>
      </c>
      <c r="D128" s="246" t="s">
        <v>420</v>
      </c>
    </row>
    <row r="129" spans="2:4">
      <c r="B129" s="248" t="str" cm="1">
        <f t="array" ref="B129:B132">_xlfn._xlws.SORT(_xlfn.UNIQUE(_xlfn._xlws.FILTER('ICU_cargo MASTER INPUT SHEET'!L30:L112,'ICU_cargo MASTER INPUT SHEET'!L30:L112&lt;&gt;"")))</f>
        <v>actual</v>
      </c>
      <c r="C129" s="207">
        <f>SUMIFS('ICU_cargo MASTER INPUT SHEET'!$I$2:$I$84,'ICU_cargo MASTER INPUT SHEET'!$L$2:$L$84,B129,'ICU_cargo MASTER INPUT SHEET'!$B$2:$B$84, "Drill")</f>
        <v>22406.061342592595</v>
      </c>
      <c r="D129" s="207">
        <f>SUMIFS('ICU_cargo MASTER INPUT SHEET'!$K$2:$K$84,'ICU_cargo MASTER INPUT SHEET'!$L$2:$L$84,B129, 'ICU_cargo MASTER INPUT SHEET'!$B$2:$B$84, "Drill")</f>
        <v>238278</v>
      </c>
    </row>
    <row r="130" spans="2:4">
      <c r="B130" s="248" t="str">
        <v>actual(**)</v>
      </c>
      <c r="C130" s="207">
        <f>SUMIFS('ICU_cargo MASTER INPUT SHEET'!$I$2:$I$84,'ICU_cargo MASTER INPUT SHEET'!$L$2:$L$84,B130,'ICU_cargo MASTER INPUT SHEET'!$B$2:$B$84, "Drill")</f>
        <v>0</v>
      </c>
      <c r="D130" s="207">
        <f>SUMIFS('ICU_cargo MASTER INPUT SHEET'!$K$2:$K$84,'ICU_cargo MASTER INPUT SHEET'!$L$2:$L$84,B130, 'ICU_cargo MASTER INPUT SHEET'!$B$2:$B$84, "Drill")</f>
        <v>0</v>
      </c>
    </row>
    <row r="131" spans="2:4">
      <c r="B131" s="248" t="str">
        <v>estimated</v>
      </c>
      <c r="C131" s="207">
        <f>SUMIFS('ICU_cargo MASTER INPUT SHEET'!$I$2:$I$84,'ICU_cargo MASTER INPUT SHEET'!$L$2:$L$84,B131,'ICU_cargo MASTER INPUT SHEET'!$B$2:$B$84, "Drill")</f>
        <v>3185.3333333333335</v>
      </c>
      <c r="D131" s="207">
        <f>SUMIFS('ICU_cargo MASTER INPUT SHEET'!$K$2:$K$84,'ICU_cargo MASTER INPUT SHEET'!$L$2:$L$84,B131, 'ICU_cargo MASTER INPUT SHEET'!$B$2:$B$84, "Drill")</f>
        <v>47800</v>
      </c>
    </row>
    <row r="132" spans="2:4">
      <c r="B132" s="249" t="str">
        <v>preliminary</v>
      </c>
      <c r="C132" s="253">
        <f>SUMIFS('ICU_cargo MASTER INPUT SHEET'!$I$2:$I$84,'ICU_cargo MASTER INPUT SHEET'!$L$2:$L$84,B132,'ICU_cargo MASTER INPUT SHEET'!$B$2:$B$84, "Drill")</f>
        <v>0</v>
      </c>
      <c r="D132" s="250">
        <f>SUMIFS('ICU_cargo MASTER INPUT SHEET'!$K$2:$K$84,'ICU_cargo MASTER INPUT SHEET'!$L$2:$L$84,B132, 'ICU_cargo MASTER INPUT SHEET'!$B$2:$B$84, "Drill")</f>
        <v>0</v>
      </c>
    </row>
    <row r="133" spans="2:4">
      <c r="B133" s="248"/>
      <c r="C133" s="207">
        <f>SUM(C129:C132)</f>
        <v>25591.394675925927</v>
      </c>
      <c r="D133" s="207">
        <f>SUM(D129:D132)</f>
        <v>286078</v>
      </c>
    </row>
    <row r="134" spans="2:4">
      <c r="C134" s="207"/>
    </row>
    <row r="135" spans="2:4">
      <c r="B135" s="247" t="s">
        <v>426</v>
      </c>
      <c r="C135" s="246" t="s">
        <v>421</v>
      </c>
      <c r="D135" s="246" t="s">
        <v>420</v>
      </c>
    </row>
    <row r="136" spans="2:4">
      <c r="B136" s="248" t="s">
        <v>35</v>
      </c>
      <c r="C136" s="207">
        <f>C130+C129</f>
        <v>22406.061342592595</v>
      </c>
      <c r="D136" s="207">
        <f>D130+D129</f>
        <v>238278</v>
      </c>
    </row>
    <row r="137" spans="2:4">
      <c r="B137" s="248" t="s">
        <v>92</v>
      </c>
      <c r="C137" s="207">
        <f>C131</f>
        <v>3185.3333333333335</v>
      </c>
      <c r="D137" s="207">
        <f>D131</f>
        <v>47800</v>
      </c>
    </row>
    <row r="138" spans="2:4">
      <c r="B138" s="249" t="s">
        <v>180</v>
      </c>
      <c r="C138" s="250">
        <f>C132</f>
        <v>0</v>
      </c>
      <c r="D138" s="250">
        <f>D132</f>
        <v>0</v>
      </c>
    </row>
    <row r="139" spans="2:4">
      <c r="B139" s="243" t="s">
        <v>384</v>
      </c>
      <c r="C139" s="207">
        <f>SUM(C136:C138)</f>
        <v>25591.394675925927</v>
      </c>
      <c r="D139" s="207">
        <f>SUM(D136:D138)</f>
        <v>286078</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03A9F-EC57-D14D-99FA-4500CEC2E3DF}">
  <dimension ref="A1:AM192"/>
  <sheetViews>
    <sheetView topLeftCell="L1" zoomScale="94" workbookViewId="0">
      <pane ySplit="1" topLeftCell="A97" activePane="bottomLeft" state="frozen"/>
      <selection pane="bottomLeft" activeCell="O1" sqref="O1"/>
    </sheetView>
  </sheetViews>
  <sheetFormatPr defaultColWidth="11.42578125" defaultRowHeight="15.95"/>
  <cols>
    <col min="1" max="1" width="22.7109375" style="393" bestFit="1" customWidth="1"/>
    <col min="2" max="2" width="12.140625" style="392" bestFit="1" customWidth="1"/>
    <col min="3" max="3" width="32.42578125" style="392" bestFit="1" customWidth="1"/>
    <col min="4" max="4" width="46.28515625" style="392" customWidth="1"/>
    <col min="5" max="5" width="10.140625" style="394" bestFit="1" customWidth="1"/>
    <col min="6" max="6" width="9.7109375" style="394" bestFit="1" customWidth="1"/>
    <col min="7" max="7" width="10.140625" style="394" bestFit="1" customWidth="1"/>
    <col min="8" max="8" width="9.140625" style="394" bestFit="1" customWidth="1"/>
    <col min="9" max="9" width="13.42578125" style="394" bestFit="1" customWidth="1"/>
    <col min="10" max="10" width="11.140625" style="394" bestFit="1" customWidth="1"/>
    <col min="11" max="11" width="16.85546875" style="394" bestFit="1" customWidth="1"/>
    <col min="12" max="12" width="12.140625" style="392" customWidth="1"/>
    <col min="13" max="13" width="13.140625" style="392" bestFit="1" customWidth="1"/>
    <col min="14" max="14" width="11.42578125" style="392"/>
    <col min="15" max="15" width="15.28515625" style="397" bestFit="1" customWidth="1"/>
    <col min="16" max="18" width="16.42578125" style="395" customWidth="1"/>
    <col min="19" max="19" width="16.42578125" style="392" customWidth="1"/>
    <col min="20" max="21" width="16.42578125" style="395" customWidth="1"/>
    <col min="22" max="22" width="16.42578125" style="392" customWidth="1"/>
    <col min="23" max="29" width="16.42578125" style="395" customWidth="1"/>
    <col min="30" max="32" width="16.42578125" style="392" customWidth="1"/>
    <col min="33" max="36" width="16.42578125" style="395" customWidth="1"/>
    <col min="37" max="37" width="79.85546875" style="392" customWidth="1"/>
    <col min="38" max="16384" width="11.42578125" style="392"/>
  </cols>
  <sheetData>
    <row r="1" spans="1:39" ht="68.099999999999994">
      <c r="A1" s="251" t="str">
        <f>'ICU_cargo MASTER INPUT SHEET'!A1</f>
        <v>Cargo Item  respective WBS Level</v>
      </c>
      <c r="B1" s="251" t="str">
        <f>'ICU_cargo MASTER INPUT SHEET'!B1</f>
        <v>Work Package</v>
      </c>
      <c r="C1" s="251" t="str">
        <f>'ICU_cargo MASTER INPUT SHEET'!C1</f>
        <v>Item Description</v>
      </c>
      <c r="D1" s="251" t="str">
        <f>'ICU_cargo MASTER INPUT SHEET'!D1</f>
        <v>Contents &amp; Comments</v>
      </c>
      <c r="E1" s="251" t="str">
        <f>'ICU_cargo MASTER INPUT SHEET'!E1</f>
        <v>Length (in)</v>
      </c>
      <c r="F1" s="251" t="str">
        <f>'ICU_cargo MASTER INPUT SHEET'!F1</f>
        <v>Width (in)</v>
      </c>
      <c r="G1" s="251" t="str">
        <f>'ICU_cargo MASTER INPUT SHEET'!G1</f>
        <v>Height (in)</v>
      </c>
      <c r="H1" s="251" t="str">
        <f>'ICU_cargo MASTER INPUT SHEET'!H1</f>
        <v>Quantity</v>
      </c>
      <c r="I1" s="251" t="str">
        <f>'ICU_cargo MASTER INPUT SHEET'!I1</f>
        <v xml:space="preserve"> Cubic feet</v>
      </c>
      <c r="J1" s="251" t="str">
        <f>'ICU_cargo MASTER INPUT SHEET'!J1</f>
        <v>Unit weight (lbs)</v>
      </c>
      <c r="K1" s="251" t="str">
        <f>'ICU_cargo MASTER INPUT SHEET'!K1</f>
        <v>Total Weight (lbs) = quantity x unit weight</v>
      </c>
      <c r="L1" s="251" t="str">
        <f>'ICU_cargo MASTER INPUT SHEET'!L1</f>
        <v>Basis of Estimate</v>
      </c>
      <c r="M1" s="251" t="str">
        <f>'ICU_cargo MASTER INPUT SHEET'!M1</f>
        <v>Special Handling?</v>
      </c>
      <c r="N1" s="251" t="str">
        <f>'ICU_cargo MASTER INPUT SHEET'!N1</f>
        <v xml:space="preserve">Owner/Guardian institution </v>
      </c>
      <c r="O1" s="403" t="str">
        <f>'ICU_cargo MASTER INPUT SHEET'!O1</f>
        <v>Time between date of completion and shipping date</v>
      </c>
      <c r="P1" s="83" t="str">
        <f>'ICU_cargo MASTER INPUT SHEET'!P1</f>
        <v xml:space="preserve">Date of expected  or actual  completion </v>
      </c>
      <c r="Q1" s="251" t="str">
        <f>'ICU_cargo MASTER INPUT SHEET'!Q1</f>
        <v>Expected Route:  Owner - PTH or CHC</v>
      </c>
      <c r="R1" s="83" t="str">
        <f>'ICU_cargo MASTER INPUT SHEET'!R1</f>
        <v xml:space="preserve">Date of expected or actual shipment </v>
      </c>
      <c r="S1" s="251" t="str">
        <f>'ICU_cargo MASTER INPUT SHEET'!S1</f>
        <v>Recommended Transportation Option</v>
      </c>
      <c r="T1" s="251" t="str">
        <f>'ICU_cargo MASTER INPUT SHEET'!T1</f>
        <v>Expected Route: PTH - MCM or CHC</v>
      </c>
      <c r="U1" s="83" t="str">
        <f>'ICU_cargo MASTER INPUT SHEET'!U1</f>
        <v xml:space="preserve">Date of expected or actual shipment </v>
      </c>
      <c r="V1" s="251" t="str">
        <f>'ICU_cargo MASTER INPUT SHEET'!V1</f>
        <v>Recommended Transportation Option</v>
      </c>
      <c r="W1" s="251" t="str">
        <f>'ICU_cargo MASTER INPUT SHEET'!W1</f>
        <v>Expected Route: CHC - MCM</v>
      </c>
      <c r="X1" s="83" t="str">
        <f>'ICU_cargo MASTER INPUT SHEET'!X1</f>
        <v xml:space="preserve">Date of expected or actual shipment </v>
      </c>
      <c r="Y1" s="251" t="str">
        <f>'ICU_cargo MASTER INPUT SHEET'!Y1</f>
        <v>Recommended Transportation Option</v>
      </c>
      <c r="Z1" s="83" t="str">
        <f>'ICU_cargo MASTER INPUT SHEET'!Z1</f>
        <v>Date Item expected or arrived to MCM</v>
      </c>
      <c r="AA1" s="83" t="str">
        <f>'ICU_cargo MASTER INPUT SHEET'!AA1</f>
        <v xml:space="preserve">Date of (planned) or actual shipment to SPA </v>
      </c>
      <c r="AB1" s="251" t="str">
        <f>'ICU_cargo MASTER INPUT SHEET'!AB1</f>
        <v>Recommended LC-130 or SPOT</v>
      </c>
      <c r="AC1" s="83" t="str">
        <f>'ICU_cargo MASTER INPUT SHEET'!AC1</f>
        <v>Date/Month for Items needed at South Pole</v>
      </c>
      <c r="AD1" s="251" t="str">
        <f>'ICU_cargo MASTER INPUT SHEET'!AD1</f>
        <v>Critical Path</v>
      </c>
      <c r="AE1" s="251" t="str">
        <f>'ICU_cargo MASTER INPUT SHEET'!AE1</f>
        <v>Intercontinental shipping</v>
      </c>
      <c r="AF1" s="251" t="str">
        <f>'ICU_cargo MASTER INPUT SHEET'!AF1</f>
        <v>Intracontinental shipping</v>
      </c>
      <c r="AG1" s="251" t="str">
        <f>'ICU_cargo MASTER INPUT SHEET'!AG1</f>
        <v>Validator 1
(SME)</v>
      </c>
      <c r="AH1" s="83" t="str">
        <f>'ICU_cargo MASTER INPUT SHEET'!AH1</f>
        <v>Validation Date</v>
      </c>
      <c r="AI1" s="251" t="str">
        <f>'ICU_cargo MASTER INPUT SHEET'!AI1</f>
        <v>Validator 2
(Logistics)</v>
      </c>
      <c r="AJ1" s="83" t="str">
        <f>'ICU_cargo MASTER INPUT SHEET'!AJ1</f>
        <v>Validation Date</v>
      </c>
      <c r="AK1" s="251" t="str">
        <f>'ICU_cargo MASTER INPUT SHEET'!AK1</f>
        <v>Notes</v>
      </c>
      <c r="AL1" s="451"/>
      <c r="AM1" s="251">
        <f>'ICU_cargo MASTER INPUT SHEET'!AL1</f>
        <v>0</v>
      </c>
    </row>
    <row r="2" spans="1:39" s="223" customFormat="1" ht="18.95">
      <c r="A2" s="252" t="s">
        <v>427</v>
      </c>
      <c r="B2" s="221" t="s">
        <v>344</v>
      </c>
      <c r="C2" s="222"/>
      <c r="D2" s="222"/>
      <c r="E2" s="224"/>
      <c r="F2" s="224"/>
      <c r="G2" s="224"/>
      <c r="H2" s="224"/>
      <c r="I2" s="224"/>
      <c r="J2" s="224"/>
      <c r="K2" s="224"/>
      <c r="L2" s="222"/>
      <c r="M2" s="222"/>
      <c r="N2" s="222"/>
      <c r="O2" s="396"/>
      <c r="P2" s="226"/>
      <c r="Q2" s="226"/>
      <c r="R2" s="226"/>
      <c r="S2" s="222"/>
      <c r="T2" s="226"/>
      <c r="U2" s="226"/>
      <c r="V2" s="222"/>
      <c r="W2" s="226"/>
      <c r="X2" s="226"/>
      <c r="Y2" s="226"/>
      <c r="Z2" s="226"/>
      <c r="AA2" s="226"/>
      <c r="AB2" s="226"/>
      <c r="AC2" s="226"/>
      <c r="AD2" s="222"/>
      <c r="AE2" s="222"/>
      <c r="AF2" s="222"/>
      <c r="AG2" s="226"/>
      <c r="AH2" s="222"/>
      <c r="AI2" s="222"/>
      <c r="AJ2" s="222"/>
      <c r="AK2" s="226"/>
    </row>
    <row r="3" spans="1:39" ht="51">
      <c r="A3" s="452" cm="1">
        <f t="array" ref="A3:AL10">_xlfn._xlws.FILTER(cargo_table,inter_shipping_label=B2)</f>
        <v>1.2</v>
      </c>
      <c r="B3" s="453" t="str">
        <v>Drill</v>
      </c>
      <c r="C3" s="454" t="str">
        <v>Container Ski Stack (comprised of 5 sleds) -  currently staged in Pt. Hueneme</v>
      </c>
      <c r="D3" s="454" t="str">
        <v>Five sets of aluminum skis for 20' containers - stacked. Aluminum skis for drill containers. Required onsite for local movement of Gens and PDM.</v>
      </c>
      <c r="E3" s="442">
        <v>240</v>
      </c>
      <c r="F3" s="442">
        <v>96</v>
      </c>
      <c r="G3" s="442">
        <v>96</v>
      </c>
      <c r="H3" s="442">
        <v>1</v>
      </c>
      <c r="I3" s="442">
        <v>1280</v>
      </c>
      <c r="J3" s="442">
        <v>4255</v>
      </c>
      <c r="K3" s="441">
        <v>4255</v>
      </c>
      <c r="L3" s="455" t="str">
        <v>actual</v>
      </c>
      <c r="M3" s="455">
        <v>0</v>
      </c>
      <c r="N3" s="455" t="str">
        <v xml:space="preserve"> U. Wisc. Madison</v>
      </c>
      <c r="O3" s="456" t="str">
        <v>Already at PTH</v>
      </c>
      <c r="P3" s="429">
        <v>44193</v>
      </c>
      <c r="Q3" s="113" t="str">
        <v>Already at PTH</v>
      </c>
      <c r="R3" s="429">
        <v>44211</v>
      </c>
      <c r="S3" s="457" t="str">
        <v>Truck</v>
      </c>
      <c r="T3" s="458" t="str">
        <v>PTH - MCM</v>
      </c>
      <c r="U3" s="458" t="str">
        <v>-</v>
      </c>
      <c r="V3" s="459" t="str">
        <v>USAP Vessel</v>
      </c>
      <c r="W3" s="460" t="str">
        <v>USAP Vessel</v>
      </c>
      <c r="X3" s="460" t="str">
        <v>-</v>
      </c>
      <c r="Y3" s="461" t="str">
        <v>-</v>
      </c>
      <c r="Z3" s="426">
        <v>44598</v>
      </c>
      <c r="AA3" s="435" t="str">
        <v>-</v>
      </c>
      <c r="AB3" s="435" t="str">
        <v>LC-130/SPoT</v>
      </c>
      <c r="AC3" s="435">
        <v>44910</v>
      </c>
      <c r="AD3" s="462" t="str">
        <v>No*</v>
      </c>
      <c r="AE3" s="462" t="str">
        <v>FY22 inter</v>
      </c>
      <c r="AF3" s="462" t="str">
        <v>FY23 intra</v>
      </c>
      <c r="AG3" s="435" t="str">
        <v>D. Gibson</v>
      </c>
      <c r="AH3" s="435">
        <v>44477</v>
      </c>
      <c r="AI3" s="435" t="str">
        <v>I. McEwen</v>
      </c>
      <c r="AJ3" s="435">
        <v>44477</v>
      </c>
      <c r="AK3" s="462" t="str">
        <v>*While this shipment is not on the critical path additional ASC crane support will be required to overcome delayed arrival or sleds furnished from the South Pole inventory</v>
      </c>
      <c r="AL3" s="451">
        <v>0</v>
      </c>
      <c r="AM3" s="451"/>
    </row>
    <row r="4" spans="1:39" ht="51">
      <c r="A4" s="452">
        <v>1.2</v>
      </c>
      <c r="B4" s="453" t="str">
        <v>Drill</v>
      </c>
      <c r="C4" s="454" t="str">
        <v>8' Refit Container</v>
      </c>
      <c r="D4" s="454" t="str">
        <v>Priority refit materials including tools, flowmeter assemblies, motor drive installation kits, hardware, fittings, sensors, &amp; consumables</v>
      </c>
      <c r="E4" s="442">
        <v>96</v>
      </c>
      <c r="F4" s="442">
        <v>86</v>
      </c>
      <c r="G4" s="442">
        <v>96</v>
      </c>
      <c r="H4" s="442">
        <v>1</v>
      </c>
      <c r="I4" s="442">
        <v>458.66666666666669</v>
      </c>
      <c r="J4" s="442">
        <v>5600</v>
      </c>
      <c r="K4" s="441">
        <v>5600</v>
      </c>
      <c r="L4" s="455" t="str">
        <v>estimated</v>
      </c>
      <c r="M4" s="455">
        <v>0</v>
      </c>
      <c r="N4" s="455" t="str">
        <v xml:space="preserve"> U. Wisc. Madison</v>
      </c>
      <c r="O4" s="456">
        <v>12</v>
      </c>
      <c r="P4" s="429">
        <v>44503</v>
      </c>
      <c r="Q4" s="113" t="str">
        <v>UWM - PTH</v>
      </c>
      <c r="R4" s="429">
        <v>44515</v>
      </c>
      <c r="S4" s="457" t="str">
        <v xml:space="preserve"> Truck</v>
      </c>
      <c r="T4" s="458" t="str">
        <v>PTH - MCM</v>
      </c>
      <c r="U4" s="458" t="str">
        <v>-</v>
      </c>
      <c r="V4" s="459" t="str">
        <v>USAP Vessel</v>
      </c>
      <c r="W4" s="460" t="str">
        <v>USAP Vessel</v>
      </c>
      <c r="X4" s="460" t="str">
        <v>-</v>
      </c>
      <c r="Y4" s="461" t="str">
        <v>-</v>
      </c>
      <c r="Z4" s="426">
        <v>44598</v>
      </c>
      <c r="AA4" s="435" t="str">
        <v>-</v>
      </c>
      <c r="AB4" s="435" t="str">
        <v>LC-130</v>
      </c>
      <c r="AC4" s="435">
        <v>44880</v>
      </c>
      <c r="AD4" s="462" t="str">
        <v>Yes</v>
      </c>
      <c r="AE4" s="462" t="str">
        <v>FY22 inter</v>
      </c>
      <c r="AF4" s="462" t="str">
        <v>FY23 intra</v>
      </c>
      <c r="AG4" s="435" t="str">
        <v>D. Gibson</v>
      </c>
      <c r="AH4" s="435">
        <v>44477</v>
      </c>
      <c r="AI4" s="435" t="str">
        <v>I. McEwen</v>
      </c>
      <c r="AJ4" s="435">
        <v>44477</v>
      </c>
      <c r="AK4" s="462" t="str">
        <v xml:space="preserve">8' container moves with contents by LC130 or is broken down for movement by Basler. Packing in progress. </v>
      </c>
      <c r="AL4" s="451">
        <v>0</v>
      </c>
      <c r="AM4" s="451"/>
    </row>
    <row r="5" spans="1:39" ht="51">
      <c r="A5" s="452">
        <v>1.2</v>
      </c>
      <c r="B5" s="453" t="str">
        <v>Drill</v>
      </c>
      <c r="C5" s="454" t="str">
        <v>20' Refit Container A</v>
      </c>
      <c r="D5" s="454" t="str">
        <v>Refit materials incl. submersible pumps, hardware, filtration components, fall arrest towers, tools, &amp; hose crimper</v>
      </c>
      <c r="E5" s="442">
        <v>240</v>
      </c>
      <c r="F5" s="442">
        <v>96</v>
      </c>
      <c r="G5" s="442">
        <v>102</v>
      </c>
      <c r="H5" s="442">
        <v>1</v>
      </c>
      <c r="I5" s="442">
        <v>1360</v>
      </c>
      <c r="J5" s="442">
        <v>17500</v>
      </c>
      <c r="K5" s="441">
        <v>17500</v>
      </c>
      <c r="L5" s="455" t="str">
        <v>estimated</v>
      </c>
      <c r="M5" s="455">
        <v>0</v>
      </c>
      <c r="N5" s="455" t="str">
        <v xml:space="preserve"> U. Wisc. Madison</v>
      </c>
      <c r="O5" s="456">
        <v>2</v>
      </c>
      <c r="P5" s="429">
        <v>44513</v>
      </c>
      <c r="Q5" s="429" t="str">
        <v>UWM - PTH</v>
      </c>
      <c r="R5" s="429">
        <v>44515</v>
      </c>
      <c r="S5" s="457" t="str">
        <v xml:space="preserve"> Truck</v>
      </c>
      <c r="T5" s="458" t="str">
        <v>PTH - MCM</v>
      </c>
      <c r="U5" s="458" t="str">
        <v>-</v>
      </c>
      <c r="V5" s="459" t="str">
        <v>USAP Vessel</v>
      </c>
      <c r="W5" s="460" t="str">
        <v>USAP Vessel</v>
      </c>
      <c r="X5" s="460" t="str">
        <v>-</v>
      </c>
      <c r="Y5" s="461" t="str">
        <v>-</v>
      </c>
      <c r="Z5" s="426">
        <v>44598</v>
      </c>
      <c r="AA5" s="435" t="str">
        <v>-</v>
      </c>
      <c r="AB5" s="435" t="str">
        <v>LC-130/SPoT</v>
      </c>
      <c r="AC5" s="435">
        <v>44896</v>
      </c>
      <c r="AD5" s="462" t="str">
        <v>Yes</v>
      </c>
      <c r="AE5" s="462" t="str">
        <v>FY22 inter</v>
      </c>
      <c r="AF5" s="463" t="str">
        <v>FY23 intra</v>
      </c>
      <c r="AG5" s="435" t="str">
        <v>D. Gibson</v>
      </c>
      <c r="AH5" s="464">
        <v>44477</v>
      </c>
      <c r="AI5" s="464" t="str">
        <v>I. McEwen</v>
      </c>
      <c r="AJ5" s="435">
        <v>44477</v>
      </c>
      <c r="AK5" s="463" t="str">
        <v xml:space="preserve">For air shipment container contents will need to be unloaded and palletized. Container procurement delayed by shortage. Packing in progress. </v>
      </c>
      <c r="AL5" s="451">
        <v>0</v>
      </c>
      <c r="AM5" s="451"/>
    </row>
    <row r="6" spans="1:39" ht="68.099999999999994">
      <c r="A6" s="452">
        <v>1.2</v>
      </c>
      <c r="B6" s="453" t="str">
        <v>Drill</v>
      </c>
      <c r="C6" s="454" t="str">
        <v>20' Refit Container B</v>
      </c>
      <c r="D6" s="454" t="str">
        <v>Bulky materials incl. cable trays, vertical turbine pumps, vertical turbine pump motors, ladders, water tank doghouse/railing materials, 287 forks, generator parts, TU20 shaft, &amp; drill weight stack</v>
      </c>
      <c r="E6" s="442">
        <v>240</v>
      </c>
      <c r="F6" s="442">
        <v>96</v>
      </c>
      <c r="G6" s="442">
        <v>102</v>
      </c>
      <c r="H6" s="442">
        <v>1</v>
      </c>
      <c r="I6" s="442">
        <v>1360</v>
      </c>
      <c r="J6" s="442">
        <v>14280</v>
      </c>
      <c r="K6" s="441">
        <v>14280</v>
      </c>
      <c r="L6" s="455" t="str">
        <v>actual</v>
      </c>
      <c r="M6" s="455">
        <v>0</v>
      </c>
      <c r="N6" s="455" t="str">
        <v xml:space="preserve"> U. Wisc. Madison</v>
      </c>
      <c r="O6" s="456" t="str">
        <v>in transit</v>
      </c>
      <c r="P6" s="429">
        <v>44502</v>
      </c>
      <c r="Q6" s="429" t="str">
        <v>UWM - PTH</v>
      </c>
      <c r="R6" s="429">
        <v>44515</v>
      </c>
      <c r="S6" s="457" t="str">
        <v>Truck</v>
      </c>
      <c r="T6" s="458" t="str">
        <v>PTH - MCM</v>
      </c>
      <c r="U6" s="458" t="str">
        <v>-</v>
      </c>
      <c r="V6" s="459" t="str">
        <v>USAP Vessel</v>
      </c>
      <c r="W6" s="460" t="str">
        <v>USAP Vessel</v>
      </c>
      <c r="X6" s="460" t="str">
        <v>-</v>
      </c>
      <c r="Y6" s="461" t="str">
        <v>-</v>
      </c>
      <c r="Z6" s="426">
        <v>44598</v>
      </c>
      <c r="AA6" s="435" t="str">
        <v>-</v>
      </c>
      <c r="AB6" s="435" t="str">
        <v>LC-130/SPoT</v>
      </c>
      <c r="AC6" s="435">
        <v>44910</v>
      </c>
      <c r="AD6" s="462" t="str">
        <v>Yes</v>
      </c>
      <c r="AE6" s="462" t="str">
        <v>FY22 inter</v>
      </c>
      <c r="AF6" s="462" t="str">
        <v>FY23 intra</v>
      </c>
      <c r="AG6" s="435" t="str">
        <v>D. Gibson</v>
      </c>
      <c r="AH6" s="435">
        <v>44477</v>
      </c>
      <c r="AI6" s="435" t="str">
        <v>I. McEwen</v>
      </c>
      <c r="AJ6" s="435">
        <v>44477</v>
      </c>
      <c r="AK6" s="462" t="str">
        <v>For air shipment container contents will need to be unloaded and palletized</v>
      </c>
      <c r="AL6" s="451">
        <v>0</v>
      </c>
      <c r="AM6" s="451"/>
    </row>
    <row r="7" spans="1:39" ht="51">
      <c r="A7" s="452">
        <v>1.2</v>
      </c>
      <c r="B7" s="453" t="str">
        <v>Drill</v>
      </c>
      <c r="C7" s="454" t="str">
        <v>ARA Trailer</v>
      </c>
      <c r="D7" s="454" t="str">
        <v>Enclosed trailer on skis housing 35kw generator</v>
      </c>
      <c r="E7" s="442">
        <v>192</v>
      </c>
      <c r="F7" s="442">
        <v>96</v>
      </c>
      <c r="G7" s="442">
        <v>88</v>
      </c>
      <c r="H7" s="442">
        <v>1</v>
      </c>
      <c r="I7" s="442">
        <v>938.66666666666663</v>
      </c>
      <c r="J7" s="442">
        <v>5400</v>
      </c>
      <c r="K7" s="441">
        <v>5400</v>
      </c>
      <c r="L7" s="455" t="str">
        <v>actual</v>
      </c>
      <c r="M7" s="455" t="str">
        <v>FLAMMABLE liquid power engine</v>
      </c>
      <c r="N7" s="455" t="str">
        <v xml:space="preserve"> U. Wisc. Madison</v>
      </c>
      <c r="O7" s="456" t="str">
        <v>in transit</v>
      </c>
      <c r="P7" s="429">
        <v>44502</v>
      </c>
      <c r="Q7" s="429" t="str">
        <v>UWM - PTH</v>
      </c>
      <c r="R7" s="429">
        <v>44515</v>
      </c>
      <c r="S7" s="457" t="str">
        <v xml:space="preserve"> Truck</v>
      </c>
      <c r="T7" s="458" t="str">
        <v>PTH - MCM</v>
      </c>
      <c r="U7" s="458" t="str">
        <v>-</v>
      </c>
      <c r="V7" s="459" t="str">
        <v>USAP Vessel</v>
      </c>
      <c r="W7" s="460" t="str">
        <v>USAP Vessel</v>
      </c>
      <c r="X7" s="460" t="str">
        <v>-</v>
      </c>
      <c r="Y7" s="461" t="str">
        <v>-</v>
      </c>
      <c r="Z7" s="426">
        <v>44598</v>
      </c>
      <c r="AA7" s="435" t="str">
        <v>-</v>
      </c>
      <c r="AB7" s="435" t="str">
        <v>LC-130/SPoT</v>
      </c>
      <c r="AC7" s="435">
        <v>44910</v>
      </c>
      <c r="AD7" s="462" t="str">
        <v>Yes*</v>
      </c>
      <c r="AE7" s="462" t="str">
        <v>FY22 inter</v>
      </c>
      <c r="AF7" s="462" t="str">
        <v>FY23 intra</v>
      </c>
      <c r="AG7" s="435" t="str">
        <v>D. Gibson</v>
      </c>
      <c r="AH7" s="435">
        <v>44477</v>
      </c>
      <c r="AI7" s="435" t="str">
        <v>I. McEwen</v>
      </c>
      <c r="AJ7" s="435">
        <v>44477</v>
      </c>
      <c r="AK7" s="462" t="str">
        <v>*If this shipment is delayed 480 volt power generation support will be required in FW YR 1 by the contractor. Aside from the CRREL generator (far larger than required with high fuel burn rate) the capacity does not currently exist at the Pole.</v>
      </c>
      <c r="AL7" s="451">
        <v>0</v>
      </c>
      <c r="AM7" s="451"/>
    </row>
    <row r="8" spans="1:39" ht="33.950000000000003">
      <c r="A8" s="452">
        <v>1.2</v>
      </c>
      <c r="B8" s="453" t="str">
        <v>Drill</v>
      </c>
      <c r="C8" s="454" t="str">
        <v>Return Water Cable Reel (RWCR)</v>
      </c>
      <c r="D8" s="465" t="str">
        <v>Smaller reel - can fit in 20' container. Required onsite in FY23 for final integration and pre-drill activites</v>
      </c>
      <c r="E8" s="442">
        <v>112</v>
      </c>
      <c r="F8" s="442">
        <v>80</v>
      </c>
      <c r="G8" s="442">
        <v>80</v>
      </c>
      <c r="H8" s="442">
        <v>1</v>
      </c>
      <c r="I8" s="442">
        <v>414.81481481481484</v>
      </c>
      <c r="J8" s="442">
        <v>4000</v>
      </c>
      <c r="K8" s="441">
        <v>4000</v>
      </c>
      <c r="L8" s="455" t="str">
        <v>actual</v>
      </c>
      <c r="M8" s="455">
        <v>0</v>
      </c>
      <c r="N8" s="455" t="str">
        <v xml:space="preserve"> U. Wisc. Madison</v>
      </c>
      <c r="O8" s="456" t="str">
        <v>in transit</v>
      </c>
      <c r="P8" s="429">
        <v>44495</v>
      </c>
      <c r="Q8" s="429" t="str">
        <v>UWM - PTH</v>
      </c>
      <c r="R8" s="429">
        <v>44515</v>
      </c>
      <c r="S8" s="457" t="str">
        <v xml:space="preserve"> Truck</v>
      </c>
      <c r="T8" s="458" t="str">
        <v>PTH - MCM</v>
      </c>
      <c r="U8" s="458" t="str">
        <v>-</v>
      </c>
      <c r="V8" s="459" t="str">
        <v>USAP Vessel</v>
      </c>
      <c r="W8" s="460" t="str">
        <v>USAP Vessel</v>
      </c>
      <c r="X8" s="460" t="str">
        <v>-</v>
      </c>
      <c r="Y8" s="461" t="str">
        <v>-</v>
      </c>
      <c r="Z8" s="426">
        <v>44598</v>
      </c>
      <c r="AA8" s="435" t="str">
        <v>-</v>
      </c>
      <c r="AB8" s="435" t="str">
        <v>LC-130/SPoT</v>
      </c>
      <c r="AC8" s="435">
        <v>44927</v>
      </c>
      <c r="AD8" s="462" t="str">
        <v>Yes</v>
      </c>
      <c r="AE8" s="462" t="str">
        <v>FY22 inter</v>
      </c>
      <c r="AF8" s="463" t="str">
        <v>FY23 intra</v>
      </c>
      <c r="AG8" s="435" t="str">
        <v>D. Gibson</v>
      </c>
      <c r="AH8" s="464">
        <v>44477</v>
      </c>
      <c r="AI8" s="464" t="str">
        <v>I. McEwen</v>
      </c>
      <c r="AJ8" s="435">
        <v>44477</v>
      </c>
      <c r="AK8" s="463" t="str">
        <v>Weight from Gen 1 shipment information see picture.</v>
      </c>
      <c r="AL8" s="451">
        <v>0</v>
      </c>
      <c r="AM8" s="451"/>
    </row>
    <row r="9" spans="1:39" ht="51">
      <c r="A9" s="452">
        <v>1.2</v>
      </c>
      <c r="B9" s="453" t="str">
        <v>Drill</v>
      </c>
      <c r="C9" s="454" t="str">
        <v>Main Cable Reel  (MCR)</v>
      </c>
      <c r="D9" s="454" t="str">
        <v xml:space="preserve">Required onsite in FY23 for final integration and pre-drill activites. Large cable reel - will require flat rack on vessel             </v>
      </c>
      <c r="E9" s="442">
        <v>140</v>
      </c>
      <c r="F9" s="442">
        <v>96</v>
      </c>
      <c r="G9" s="442">
        <v>95</v>
      </c>
      <c r="H9" s="442">
        <v>1</v>
      </c>
      <c r="I9" s="442">
        <v>738.88888888888891</v>
      </c>
      <c r="J9" s="442">
        <v>12500</v>
      </c>
      <c r="K9" s="441">
        <v>12500</v>
      </c>
      <c r="L9" s="455" t="str">
        <v>actual</v>
      </c>
      <c r="M9" s="455">
        <v>0</v>
      </c>
      <c r="N9" s="455" t="str">
        <v xml:space="preserve"> U. Wisc. Madison</v>
      </c>
      <c r="O9" s="456">
        <v>7</v>
      </c>
      <c r="P9" s="429">
        <v>44508</v>
      </c>
      <c r="Q9" s="429" t="str">
        <v>UWM - PTH</v>
      </c>
      <c r="R9" s="429">
        <v>44515</v>
      </c>
      <c r="S9" s="457" t="str">
        <v xml:space="preserve"> Truck</v>
      </c>
      <c r="T9" s="458" t="str">
        <v>PTH - MCM</v>
      </c>
      <c r="U9" s="458" t="str">
        <v>-</v>
      </c>
      <c r="V9" s="459" t="str">
        <v>USAP Vessel</v>
      </c>
      <c r="W9" s="460" t="str">
        <v>USAP Vessel</v>
      </c>
      <c r="X9" s="460" t="str">
        <v>-</v>
      </c>
      <c r="Y9" s="461" t="str">
        <v>-</v>
      </c>
      <c r="Z9" s="426">
        <v>44598</v>
      </c>
      <c r="AA9" s="435" t="str">
        <v>-</v>
      </c>
      <c r="AB9" s="435" t="str">
        <v>LC-130/SPoT</v>
      </c>
      <c r="AC9" s="435">
        <v>44927</v>
      </c>
      <c r="AD9" s="462" t="str">
        <v>Yes</v>
      </c>
      <c r="AE9" s="462" t="str">
        <v>FY22 inter</v>
      </c>
      <c r="AF9" s="463" t="str">
        <v>FY23 intra</v>
      </c>
      <c r="AG9" s="435" t="str">
        <v>D. Gibson</v>
      </c>
      <c r="AH9" s="464">
        <v>44477</v>
      </c>
      <c r="AI9" s="464" t="str">
        <v>I. McEwen</v>
      </c>
      <c r="AJ9" s="435">
        <v>44477</v>
      </c>
      <c r="AK9" s="463" t="str">
        <v xml:space="preserve">Required onsite in FS Y1 for final integration and pre-drill activities. Shrink wrap contractor rescheduled for later date. </v>
      </c>
      <c r="AL9" s="451">
        <v>0</v>
      </c>
      <c r="AM9" s="451"/>
    </row>
    <row r="10" spans="1:39" ht="33.950000000000003">
      <c r="A10" s="452">
        <v>1.2</v>
      </c>
      <c r="B10" s="453" t="str">
        <v>Drill</v>
      </c>
      <c r="C10" s="454" t="str">
        <v>Camp Hose - currently staged at PSL</v>
      </c>
      <c r="D10" s="454" t="str">
        <v>Two spools of hose - 348 cf / 4990 lbs each. Required for SES set-up - no DNDF requirement.</v>
      </c>
      <c r="E10" s="442">
        <v>92</v>
      </c>
      <c r="F10" s="442">
        <v>92</v>
      </c>
      <c r="G10" s="442">
        <v>71</v>
      </c>
      <c r="H10" s="442">
        <v>2</v>
      </c>
      <c r="I10" s="442">
        <v>695.53703703703707</v>
      </c>
      <c r="J10" s="442">
        <v>4990</v>
      </c>
      <c r="K10" s="441">
        <v>9980</v>
      </c>
      <c r="L10" s="455" t="str">
        <v>actual</v>
      </c>
      <c r="M10" s="455">
        <v>0</v>
      </c>
      <c r="N10" s="455" t="str">
        <v xml:space="preserve"> U. Wisc. Madison</v>
      </c>
      <c r="O10" s="456">
        <v>157</v>
      </c>
      <c r="P10" s="429">
        <v>44358</v>
      </c>
      <c r="Q10" s="429" t="str">
        <v>UWM - PTH</v>
      </c>
      <c r="R10" s="429">
        <v>44515</v>
      </c>
      <c r="S10" s="457" t="str">
        <v>Truck</v>
      </c>
      <c r="T10" s="458" t="str">
        <v>PTH - MCM</v>
      </c>
      <c r="U10" s="458" t="str">
        <v>-</v>
      </c>
      <c r="V10" s="459" t="str">
        <v>USAP Vessel</v>
      </c>
      <c r="W10" s="460" t="str">
        <v>USAP Vessel</v>
      </c>
      <c r="X10" s="460" t="str">
        <v>-</v>
      </c>
      <c r="Y10" s="461" t="str">
        <v>-</v>
      </c>
      <c r="Z10" s="426">
        <v>44598</v>
      </c>
      <c r="AA10" s="435" t="str">
        <v>-</v>
      </c>
      <c r="AB10" s="435" t="str">
        <v>LC-130/SPoT</v>
      </c>
      <c r="AC10" s="435">
        <v>45261</v>
      </c>
      <c r="AD10" s="462" t="str">
        <v>Yes</v>
      </c>
      <c r="AE10" s="462" t="str">
        <v>FY22 inter</v>
      </c>
      <c r="AF10" s="463" t="str">
        <v>FY24 intra</v>
      </c>
      <c r="AG10" s="435" t="str">
        <v>D. Gibson</v>
      </c>
      <c r="AH10" s="464">
        <v>44477</v>
      </c>
      <c r="AI10" s="464" t="str">
        <v>I. McEwen</v>
      </c>
      <c r="AJ10" s="435">
        <v>44477</v>
      </c>
      <c r="AK10" s="463">
        <v>0</v>
      </c>
      <c r="AL10" s="451">
        <v>0</v>
      </c>
      <c r="AM10" s="451"/>
    </row>
    <row r="11" spans="1:39">
      <c r="A11" s="466"/>
      <c r="B11" s="451"/>
      <c r="C11" s="451"/>
      <c r="D11" s="451"/>
      <c r="E11" s="467"/>
      <c r="F11" s="467"/>
      <c r="G11" s="467"/>
      <c r="H11" s="467"/>
      <c r="I11" s="136">
        <f>SUBTOTAL(9,I3:I10)</f>
        <v>7246.5740740740748</v>
      </c>
      <c r="J11" s="467"/>
      <c r="K11" s="136">
        <f t="shared" ref="K11" si="0">SUBTOTAL(9,K3:K10)</f>
        <v>73515</v>
      </c>
      <c r="L11" s="451"/>
      <c r="M11" s="451"/>
      <c r="N11" s="451"/>
      <c r="O11" s="468"/>
      <c r="P11" s="469"/>
      <c r="Q11" s="469"/>
      <c r="R11" s="469"/>
      <c r="S11" s="451"/>
      <c r="T11" s="469"/>
      <c r="U11" s="469"/>
      <c r="V11" s="451"/>
      <c r="W11" s="469"/>
      <c r="X11" s="469"/>
      <c r="Y11" s="469"/>
      <c r="Z11" s="469"/>
      <c r="AA11" s="469"/>
      <c r="AB11" s="469"/>
      <c r="AC11" s="469"/>
      <c r="AD11" s="451"/>
      <c r="AE11" s="451"/>
      <c r="AF11" s="451"/>
      <c r="AG11" s="469"/>
      <c r="AH11" s="469"/>
      <c r="AI11" s="469"/>
      <c r="AJ11" s="469"/>
      <c r="AK11" s="451"/>
      <c r="AL11" s="451"/>
      <c r="AM11" s="451"/>
    </row>
    <row r="15" spans="1:39" ht="18.95">
      <c r="A15" s="252" t="s">
        <v>428</v>
      </c>
      <c r="B15" s="221" t="s">
        <v>346</v>
      </c>
      <c r="C15" s="222"/>
      <c r="D15" s="222"/>
      <c r="E15" s="224"/>
      <c r="F15" s="224"/>
      <c r="G15" s="224"/>
      <c r="H15" s="224"/>
      <c r="I15" s="224"/>
      <c r="J15" s="224"/>
      <c r="K15" s="224"/>
      <c r="L15" s="222"/>
      <c r="M15" s="222"/>
      <c r="N15" s="222"/>
      <c r="O15" s="396"/>
      <c r="P15" s="226"/>
      <c r="Q15" s="226"/>
      <c r="R15" s="226"/>
      <c r="S15" s="222"/>
      <c r="T15" s="226"/>
      <c r="U15" s="226"/>
      <c r="V15" s="222"/>
      <c r="W15" s="226"/>
      <c r="X15" s="226"/>
      <c r="Y15" s="226"/>
      <c r="Z15" s="226"/>
      <c r="AA15" s="226"/>
      <c r="AB15" s="226"/>
      <c r="AC15" s="226"/>
      <c r="AD15" s="222"/>
      <c r="AE15" s="222"/>
      <c r="AF15" s="222"/>
      <c r="AG15" s="226"/>
      <c r="AH15" s="222"/>
      <c r="AI15" s="222"/>
      <c r="AJ15" s="222"/>
      <c r="AK15" s="226"/>
      <c r="AL15" s="451"/>
      <c r="AM15" s="451"/>
    </row>
    <row r="16" spans="1:39" ht="33.950000000000003">
      <c r="A16" s="452" cm="1">
        <f t="array" ref="A16:AL30">_xlfn._xlws.FILTER(cargo_table, inter_shipping_label=B15)</f>
        <v>1.2</v>
      </c>
      <c r="B16" s="453" t="str">
        <v>Drill</v>
      </c>
      <c r="C16" s="454" t="str">
        <v>Generator Intake Hood - currently staged in Pt. Hueneme</v>
      </c>
      <c r="D16" s="454" t="str">
        <v>Light weight large volume sheet metal stacks for generator ventilation</v>
      </c>
      <c r="E16" s="442">
        <v>174</v>
      </c>
      <c r="F16" s="442">
        <v>53</v>
      </c>
      <c r="G16" s="442">
        <v>96</v>
      </c>
      <c r="H16" s="442">
        <v>3</v>
      </c>
      <c r="I16" s="442">
        <v>1537</v>
      </c>
      <c r="J16" s="442">
        <v>586.66666666666663</v>
      </c>
      <c r="K16" s="441">
        <v>1760</v>
      </c>
      <c r="L16" s="455" t="str">
        <v>actual</v>
      </c>
      <c r="M16" s="455">
        <v>0</v>
      </c>
      <c r="N16" s="455" t="str">
        <v xml:space="preserve"> U. Wisc. Madison</v>
      </c>
      <c r="O16" s="456" t="str">
        <v>Already at PTH</v>
      </c>
      <c r="P16" s="429">
        <v>44112</v>
      </c>
      <c r="Q16" s="113" t="str">
        <v>Already at PTH</v>
      </c>
      <c r="R16" s="429">
        <v>44159</v>
      </c>
      <c r="S16" s="457" t="str">
        <v>Truck</v>
      </c>
      <c r="T16" s="458" t="str">
        <v>PTH - MCM</v>
      </c>
      <c r="U16" s="458" t="str">
        <v>-</v>
      </c>
      <c r="V16" s="459" t="str">
        <v>USAP Vessel</v>
      </c>
      <c r="W16" s="460" t="str">
        <v>USAP Vessel</v>
      </c>
      <c r="X16" s="460" t="str">
        <v>-</v>
      </c>
      <c r="Y16" s="461" t="str">
        <v>-</v>
      </c>
      <c r="Z16" s="426">
        <v>44963</v>
      </c>
      <c r="AA16" s="435" t="str">
        <v>-</v>
      </c>
      <c r="AB16" s="435" t="str">
        <v>LC-130/SPoT</v>
      </c>
      <c r="AC16" s="435">
        <v>45292</v>
      </c>
      <c r="AD16" s="462" t="str">
        <v>Yes</v>
      </c>
      <c r="AE16" s="462" t="str">
        <v>FY23 inter</v>
      </c>
      <c r="AF16" s="462" t="str">
        <v>FY24 intra</v>
      </c>
      <c r="AG16" s="435" t="str">
        <v>D. Gibson</v>
      </c>
      <c r="AH16" s="435">
        <v>44477</v>
      </c>
      <c r="AI16" s="435" t="str">
        <v>I. McEwen</v>
      </c>
      <c r="AJ16" s="435">
        <v>44477</v>
      </c>
      <c r="AK16" s="462">
        <v>0</v>
      </c>
      <c r="AL16" s="451">
        <v>0</v>
      </c>
      <c r="AM16" s="451"/>
    </row>
    <row r="17" spans="1:38" ht="33.950000000000003">
      <c r="A17" s="452">
        <v>1.2</v>
      </c>
      <c r="B17" s="453" t="str">
        <v>Drill</v>
      </c>
      <c r="C17" s="454" t="str">
        <v>Generator Discharge Hoods - currently staged in Pt. Hueneme</v>
      </c>
      <c r="D17" s="454" t="str">
        <v>Light weight large volume sheet metal stacks for generator ventilation</v>
      </c>
      <c r="E17" s="442">
        <v>108</v>
      </c>
      <c r="F17" s="442">
        <v>53</v>
      </c>
      <c r="G17" s="442">
        <v>60</v>
      </c>
      <c r="H17" s="442">
        <v>2</v>
      </c>
      <c r="I17" s="442">
        <v>397.5</v>
      </c>
      <c r="J17" s="442">
        <v>1210</v>
      </c>
      <c r="K17" s="441">
        <v>2420</v>
      </c>
      <c r="L17" s="455" t="str">
        <v>actual</v>
      </c>
      <c r="M17" s="455">
        <v>0</v>
      </c>
      <c r="N17" s="455" t="str">
        <v xml:space="preserve"> U. Wisc. Madison</v>
      </c>
      <c r="O17" s="456" t="str">
        <v>Already at PTH</v>
      </c>
      <c r="P17" s="429">
        <v>44112</v>
      </c>
      <c r="Q17" s="113" t="str">
        <v>Already at PTH</v>
      </c>
      <c r="R17" s="429">
        <v>44159</v>
      </c>
      <c r="S17" s="457" t="str">
        <v>Truck</v>
      </c>
      <c r="T17" s="458" t="str">
        <v>PTH - MCM</v>
      </c>
      <c r="U17" s="458" t="str">
        <v>-</v>
      </c>
      <c r="V17" s="459" t="str">
        <v>USAP Vessel</v>
      </c>
      <c r="W17" s="460" t="str">
        <v>USAP Vessel</v>
      </c>
      <c r="X17" s="460" t="str">
        <v>-</v>
      </c>
      <c r="Y17" s="461" t="str">
        <v>-</v>
      </c>
      <c r="Z17" s="426">
        <v>44963</v>
      </c>
      <c r="AA17" s="435" t="str">
        <v>-</v>
      </c>
      <c r="AB17" s="435" t="str">
        <v>LC-130/SPoT</v>
      </c>
      <c r="AC17" s="435">
        <v>45292</v>
      </c>
      <c r="AD17" s="462" t="str">
        <v>Yes</v>
      </c>
      <c r="AE17" s="462" t="str">
        <v>FY23 inter</v>
      </c>
      <c r="AF17" s="462" t="str">
        <v>FY24 intra</v>
      </c>
      <c r="AG17" s="435" t="str">
        <v>D. Gibson</v>
      </c>
      <c r="AH17" s="435">
        <v>44477</v>
      </c>
      <c r="AI17" s="435" t="str">
        <v>I. McEwen</v>
      </c>
      <c r="AJ17" s="435">
        <v>44477</v>
      </c>
      <c r="AK17" s="462">
        <v>0</v>
      </c>
      <c r="AL17" s="451">
        <v>0</v>
      </c>
    </row>
    <row r="18" spans="1:38" ht="33.950000000000003">
      <c r="A18" s="452">
        <v>1.2</v>
      </c>
      <c r="B18" s="453" t="str">
        <v>Drill</v>
      </c>
      <c r="C18" s="454" t="str">
        <v>Drill Hose  - currently staged in Pt. Hueneme</v>
      </c>
      <c r="D18" s="454" t="str">
        <v>Drill hose - 9 Spools - 348 cf / 3532 lbs each - Shipped from Italy</v>
      </c>
      <c r="E18" s="442">
        <v>92</v>
      </c>
      <c r="F18" s="442">
        <v>92</v>
      </c>
      <c r="G18" s="442">
        <v>70.5</v>
      </c>
      <c r="H18" s="442">
        <v>9</v>
      </c>
      <c r="I18" s="442">
        <v>3107.875</v>
      </c>
      <c r="J18" s="442">
        <v>3531.5555555555557</v>
      </c>
      <c r="K18" s="441">
        <v>31784</v>
      </c>
      <c r="L18" s="455" t="str">
        <v>actual</v>
      </c>
      <c r="M18" s="455">
        <v>0</v>
      </c>
      <c r="N18" s="455" t="str">
        <v xml:space="preserve"> U. Wisc. Madison</v>
      </c>
      <c r="O18" s="456" t="str">
        <v>Already at PTH</v>
      </c>
      <c r="P18" s="429">
        <v>44041</v>
      </c>
      <c r="Q18" s="429" t="str">
        <v>Already at PTH</v>
      </c>
      <c r="R18" s="429">
        <v>44058</v>
      </c>
      <c r="S18" s="457" t="str">
        <v>Truck</v>
      </c>
      <c r="T18" s="458" t="str">
        <v>PTH - MCM</v>
      </c>
      <c r="U18" s="458" t="str">
        <v>-</v>
      </c>
      <c r="V18" s="459" t="str">
        <v>USAP Vessel</v>
      </c>
      <c r="W18" s="460" t="str">
        <v>USAP Vessel</v>
      </c>
      <c r="X18" s="460" t="str">
        <v>-</v>
      </c>
      <c r="Y18" s="461" t="str">
        <v>-</v>
      </c>
      <c r="Z18" s="426">
        <v>44963</v>
      </c>
      <c r="AA18" s="435" t="str">
        <v>-</v>
      </c>
      <c r="AB18" s="435" t="str">
        <v>LC-130/SPoT</v>
      </c>
      <c r="AC18" s="435">
        <v>45292</v>
      </c>
      <c r="AD18" s="462" t="str">
        <v>Yes</v>
      </c>
      <c r="AE18" s="462" t="str">
        <v>FY23 inter</v>
      </c>
      <c r="AF18" s="463" t="str">
        <v>FY24 intra</v>
      </c>
      <c r="AG18" s="435" t="str">
        <v>D. Gibson</v>
      </c>
      <c r="AH18" s="464">
        <v>44477</v>
      </c>
      <c r="AI18" s="464" t="str">
        <v>I. McEwen</v>
      </c>
      <c r="AJ18" s="435">
        <v>44477</v>
      </c>
      <c r="AK18" s="463" t="str">
        <v>Hose to be installed on Main Supply Hose Reel upon arrival at Pole</v>
      </c>
      <c r="AL18" s="451">
        <v>0</v>
      </c>
    </row>
    <row r="19" spans="1:38" ht="33.950000000000003">
      <c r="A19" s="452">
        <v>1.2</v>
      </c>
      <c r="B19" s="453" t="str">
        <v>Drill</v>
      </c>
      <c r="C19" s="454" t="str">
        <v>Drill Hose  - currently staged in Pt. Hueneme</v>
      </c>
      <c r="D19" s="454" t="str">
        <v>Drill hose - 3 Spools - 348 cf / 5001 lbs each - Shipped from PSL</v>
      </c>
      <c r="E19" s="442">
        <v>92</v>
      </c>
      <c r="F19" s="442">
        <v>92</v>
      </c>
      <c r="G19" s="442">
        <v>70.5</v>
      </c>
      <c r="H19" s="442">
        <v>3</v>
      </c>
      <c r="I19" s="442">
        <v>1035.9583333333335</v>
      </c>
      <c r="J19" s="442">
        <v>5001</v>
      </c>
      <c r="K19" s="441">
        <v>15003</v>
      </c>
      <c r="L19" s="455" t="str">
        <v>actual</v>
      </c>
      <c r="M19" s="455">
        <v>0</v>
      </c>
      <c r="N19" s="455" t="str">
        <v xml:space="preserve"> U. Wisc. Madison</v>
      </c>
      <c r="O19" s="456" t="str">
        <v>Already at PTH</v>
      </c>
      <c r="P19" s="429">
        <v>44154</v>
      </c>
      <c r="Q19" s="429" t="str">
        <v>Already at PTH</v>
      </c>
      <c r="R19" s="429">
        <v>44211</v>
      </c>
      <c r="S19" s="457" t="str">
        <v>Truck</v>
      </c>
      <c r="T19" s="458" t="str">
        <v>PTH - MCM</v>
      </c>
      <c r="U19" s="458" t="str">
        <v>-</v>
      </c>
      <c r="V19" s="459" t="str">
        <v>USAP Vessel</v>
      </c>
      <c r="W19" s="460" t="str">
        <v>USAP Vessel</v>
      </c>
      <c r="X19" s="460" t="str">
        <v>-</v>
      </c>
      <c r="Y19" s="461" t="str">
        <v>-</v>
      </c>
      <c r="Z19" s="426">
        <v>44963</v>
      </c>
      <c r="AA19" s="435" t="str">
        <v>-</v>
      </c>
      <c r="AB19" s="435" t="str">
        <v>LC-130/SPoT</v>
      </c>
      <c r="AC19" s="435">
        <v>45292</v>
      </c>
      <c r="AD19" s="462" t="str">
        <v>Yes</v>
      </c>
      <c r="AE19" s="462" t="str">
        <v>FY23 inter</v>
      </c>
      <c r="AF19" s="462" t="str">
        <v>FY24 intra</v>
      </c>
      <c r="AG19" s="435" t="str">
        <v>D. Gibson</v>
      </c>
      <c r="AH19" s="435">
        <v>44477</v>
      </c>
      <c r="AI19" s="435" t="str">
        <v>I. McEwen</v>
      </c>
      <c r="AJ19" s="435">
        <v>44477</v>
      </c>
      <c r="AK19" s="462" t="str">
        <v>Hose to be installed on Main Supply Hose Reel upon arrival at Pole</v>
      </c>
      <c r="AL19" s="451">
        <v>0</v>
      </c>
    </row>
    <row r="20" spans="1:38" ht="51">
      <c r="A20" s="452">
        <v>1.2</v>
      </c>
      <c r="B20" s="453" t="str">
        <v>Drill</v>
      </c>
      <c r="C20" s="454" t="str">
        <v>Controls infrastructure - Motor drives, PLCs, electrical hardware, and motor drive mounting kits</v>
      </c>
      <c r="D20" s="454" t="str">
        <v>Components and equipment to support field season 1 controls system tasking - ComSur - Do Not Freeze</v>
      </c>
      <c r="E20" s="442">
        <v>96</v>
      </c>
      <c r="F20" s="442">
        <v>48</v>
      </c>
      <c r="G20" s="442">
        <v>48</v>
      </c>
      <c r="H20" s="442">
        <v>1</v>
      </c>
      <c r="I20" s="442">
        <v>128</v>
      </c>
      <c r="J20" s="442">
        <v>3000</v>
      </c>
      <c r="K20" s="441">
        <v>3000</v>
      </c>
      <c r="L20" s="455" t="str">
        <v>estimated</v>
      </c>
      <c r="M20" s="455" t="str">
        <v>DNF</v>
      </c>
      <c r="N20" s="455" t="str">
        <v xml:space="preserve"> U. Wisc. Madison</v>
      </c>
      <c r="O20" s="456">
        <v>381</v>
      </c>
      <c r="P20" s="429">
        <v>44301</v>
      </c>
      <c r="Q20" s="429" t="str">
        <v>UWM - PTH</v>
      </c>
      <c r="R20" s="429">
        <v>44682</v>
      </c>
      <c r="S20" s="457" t="str">
        <v>Truck</v>
      </c>
      <c r="T20" s="458" t="str">
        <v>PTH - CHC</v>
      </c>
      <c r="U20" s="458" t="str">
        <v>-</v>
      </c>
      <c r="V20" s="459" t="str">
        <v>ComSur</v>
      </c>
      <c r="W20" s="460" t="str">
        <v>CHC-MCM</v>
      </c>
      <c r="X20" s="460" t="str">
        <v>-</v>
      </c>
      <c r="Y20" s="461" t="str">
        <v>USAP Air</v>
      </c>
      <c r="Z20" s="426">
        <v>44866</v>
      </c>
      <c r="AA20" s="435" t="str">
        <v>-</v>
      </c>
      <c r="AB20" s="435" t="str">
        <v>LC-130</v>
      </c>
      <c r="AC20" s="435">
        <v>44896</v>
      </c>
      <c r="AD20" s="462" t="str">
        <v>Yes</v>
      </c>
      <c r="AE20" s="462" t="str">
        <v>FY23 inter</v>
      </c>
      <c r="AF20" s="462" t="str">
        <v>FY23 intra</v>
      </c>
      <c r="AG20" s="435" t="str">
        <v>D. Gibson</v>
      </c>
      <c r="AH20" s="435">
        <v>44477</v>
      </c>
      <c r="AI20" s="435" t="str">
        <v>I. McEwen</v>
      </c>
      <c r="AJ20" s="435">
        <v>44477</v>
      </c>
      <c r="AK20" s="462" t="str">
        <v>Weight estimated</v>
      </c>
      <c r="AL20" s="451">
        <v>0</v>
      </c>
    </row>
    <row r="21" spans="1:38" ht="51">
      <c r="A21" s="452">
        <v>1.2</v>
      </c>
      <c r="B21" s="453" t="str">
        <v>Drill</v>
      </c>
      <c r="C21" s="454" t="str">
        <v>ARA Drill System Components - Crate 1</v>
      </c>
      <c r="D21" s="465" t="str">
        <v>ARA (Antarctic Rodwell Appartus) - downhole pump controller, ePump controller, splash cam kit, and accessories - Do Not Freeze</v>
      </c>
      <c r="E21" s="442">
        <v>96</v>
      </c>
      <c r="F21" s="442">
        <v>48</v>
      </c>
      <c r="G21" s="442">
        <v>48</v>
      </c>
      <c r="H21" s="442">
        <v>1</v>
      </c>
      <c r="I21" s="442">
        <v>128</v>
      </c>
      <c r="J21" s="442">
        <v>1200</v>
      </c>
      <c r="K21" s="441">
        <v>1200</v>
      </c>
      <c r="L21" s="455" t="str">
        <v>estimated</v>
      </c>
      <c r="M21" s="455" t="str">
        <v>DNF</v>
      </c>
      <c r="N21" s="455" t="str">
        <v xml:space="preserve"> U. Wisc. Madison</v>
      </c>
      <c r="O21" s="456">
        <v>381</v>
      </c>
      <c r="P21" s="429">
        <v>44301</v>
      </c>
      <c r="Q21" s="429" t="str">
        <v>UWM - PTH</v>
      </c>
      <c r="R21" s="429">
        <v>44682</v>
      </c>
      <c r="S21" s="457" t="str">
        <v xml:space="preserve"> Truck</v>
      </c>
      <c r="T21" s="458" t="str">
        <v>PTH - CHC</v>
      </c>
      <c r="U21" s="458" t="str">
        <v>-</v>
      </c>
      <c r="V21" s="459" t="str">
        <v>ComSur</v>
      </c>
      <c r="W21" s="460" t="str">
        <v>CHC-MCM</v>
      </c>
      <c r="X21" s="460" t="str">
        <v>-</v>
      </c>
      <c r="Y21" s="461" t="str">
        <v>USAP Air</v>
      </c>
      <c r="Z21" s="426">
        <v>44866</v>
      </c>
      <c r="AA21" s="435" t="str">
        <v>-</v>
      </c>
      <c r="AB21" s="435" t="str">
        <v xml:space="preserve">LC-130 </v>
      </c>
      <c r="AC21" s="435">
        <v>44896</v>
      </c>
      <c r="AD21" s="462" t="str">
        <v>Yes</v>
      </c>
      <c r="AE21" s="462" t="str">
        <v>FY23 inter</v>
      </c>
      <c r="AF21" s="463" t="str">
        <v>FY23 intra</v>
      </c>
      <c r="AG21" s="435" t="str">
        <v>D. Gibson</v>
      </c>
      <c r="AH21" s="464">
        <v>44477</v>
      </c>
      <c r="AI21" s="464" t="str">
        <v>I. McEwen</v>
      </c>
      <c r="AJ21" s="435">
        <v>44477</v>
      </c>
      <c r="AK21" s="463">
        <v>0</v>
      </c>
      <c r="AL21" s="451">
        <v>0</v>
      </c>
    </row>
    <row r="22" spans="1:38" ht="33.950000000000003">
      <c r="A22" s="452">
        <v>1.2</v>
      </c>
      <c r="B22" s="453" t="str">
        <v>Drill</v>
      </c>
      <c r="C22" s="454" t="str">
        <v>ARA Drill System Components - Crate 2</v>
      </c>
      <c r="D22" s="454" t="str">
        <v>ARA (Antarctic Rodwell Appartus) - new downhole pumps, spares, accessories and tools</v>
      </c>
      <c r="E22" s="442">
        <v>96</v>
      </c>
      <c r="F22" s="442">
        <v>48</v>
      </c>
      <c r="G22" s="442">
        <v>48</v>
      </c>
      <c r="H22" s="442">
        <v>1</v>
      </c>
      <c r="I22" s="442">
        <v>128</v>
      </c>
      <c r="J22" s="442">
        <v>1200</v>
      </c>
      <c r="K22" s="441">
        <v>1200</v>
      </c>
      <c r="L22" s="455" t="str">
        <v>estimated</v>
      </c>
      <c r="M22" s="455">
        <v>0</v>
      </c>
      <c r="N22" s="455" t="str">
        <v xml:space="preserve"> U. Wisc. Madison</v>
      </c>
      <c r="O22" s="456">
        <v>381</v>
      </c>
      <c r="P22" s="429">
        <v>44301</v>
      </c>
      <c r="Q22" s="429" t="str">
        <v>UWM - PTH</v>
      </c>
      <c r="R22" s="429">
        <v>44682</v>
      </c>
      <c r="S22" s="457" t="str">
        <v xml:space="preserve"> Truck</v>
      </c>
      <c r="T22" s="458" t="str">
        <v>PTH - CHC</v>
      </c>
      <c r="U22" s="458" t="str">
        <v>-</v>
      </c>
      <c r="V22" s="459" t="str">
        <v>ComSur</v>
      </c>
      <c r="W22" s="460" t="str">
        <v>CHC-MCM</v>
      </c>
      <c r="X22" s="460" t="str">
        <v>-</v>
      </c>
      <c r="Y22" s="461" t="str">
        <v>USAP Air</v>
      </c>
      <c r="Z22" s="426">
        <v>44866</v>
      </c>
      <c r="AA22" s="435" t="str">
        <v>-</v>
      </c>
      <c r="AB22" s="435" t="str">
        <v>LC-130/SPoT</v>
      </c>
      <c r="AC22" s="435">
        <v>44896</v>
      </c>
      <c r="AD22" s="462" t="str">
        <v>Yes</v>
      </c>
      <c r="AE22" s="462" t="str">
        <v>FY23 inter</v>
      </c>
      <c r="AF22" s="463" t="str">
        <v>FY23 intra</v>
      </c>
      <c r="AG22" s="435" t="str">
        <v>D. Gibson</v>
      </c>
      <c r="AH22" s="464">
        <v>44477</v>
      </c>
      <c r="AI22" s="464" t="str">
        <v>I. McEwen</v>
      </c>
      <c r="AJ22" s="435">
        <v>44477</v>
      </c>
      <c r="AK22" s="463">
        <v>0</v>
      </c>
      <c r="AL22" s="451">
        <v>0</v>
      </c>
    </row>
    <row r="23" spans="1:38" ht="33.950000000000003">
      <c r="A23" s="452">
        <v>1.2</v>
      </c>
      <c r="B23" s="453" t="str">
        <v>Drill</v>
      </c>
      <c r="C23" s="454" t="str">
        <v>Bull wheel</v>
      </c>
      <c r="D23" s="454" t="str">
        <v>Bull wheel assembly - used to install main cable on reel in event of main cable damage/failure</v>
      </c>
      <c r="E23" s="442">
        <v>88</v>
      </c>
      <c r="F23" s="442">
        <v>58</v>
      </c>
      <c r="G23" s="442">
        <v>97</v>
      </c>
      <c r="H23" s="442">
        <v>1</v>
      </c>
      <c r="I23" s="442">
        <v>286.50925925925924</v>
      </c>
      <c r="J23" s="442">
        <v>2880</v>
      </c>
      <c r="K23" s="441">
        <v>2880</v>
      </c>
      <c r="L23" s="455" t="str">
        <v>actual</v>
      </c>
      <c r="M23" s="455">
        <v>0</v>
      </c>
      <c r="N23" s="455" t="str">
        <v xml:space="preserve"> U. Wisc. Madison</v>
      </c>
      <c r="O23" s="456">
        <v>349</v>
      </c>
      <c r="P23" s="429">
        <v>44531</v>
      </c>
      <c r="Q23" s="429" t="str">
        <v>UWM - PTH</v>
      </c>
      <c r="R23" s="429">
        <v>44880</v>
      </c>
      <c r="S23" s="457" t="str">
        <v>Truck</v>
      </c>
      <c r="T23" s="458" t="str">
        <v>PTH - MCM</v>
      </c>
      <c r="U23" s="458" t="str">
        <v>-</v>
      </c>
      <c r="V23" s="459" t="str">
        <v>USAP Vessel</v>
      </c>
      <c r="W23" s="460" t="str">
        <v>USAP Vessel</v>
      </c>
      <c r="X23" s="460" t="str">
        <v>-</v>
      </c>
      <c r="Y23" s="461" t="str">
        <v>-</v>
      </c>
      <c r="Z23" s="426">
        <v>44963</v>
      </c>
      <c r="AA23" s="435" t="str">
        <v>-</v>
      </c>
      <c r="AB23" s="435" t="str">
        <v>LC-130/SPoT</v>
      </c>
      <c r="AC23" s="435">
        <v>45323</v>
      </c>
      <c r="AD23" s="462" t="str">
        <v>No</v>
      </c>
      <c r="AE23" s="462" t="str">
        <v>FY23 inter</v>
      </c>
      <c r="AF23" s="463" t="str">
        <v>FY24 intra</v>
      </c>
      <c r="AG23" s="435" t="str">
        <v>D. Gibson</v>
      </c>
      <c r="AH23" s="464">
        <v>44477</v>
      </c>
      <c r="AI23" s="464" t="str">
        <v>I. McEwen</v>
      </c>
      <c r="AJ23" s="435">
        <v>44477</v>
      </c>
      <c r="AK23" s="463" t="str">
        <v>Weight and cube used from Gen 1 shipping label still on bull wheel.</v>
      </c>
      <c r="AL23" s="451">
        <v>0</v>
      </c>
    </row>
    <row r="24" spans="1:38" ht="33.950000000000003">
      <c r="A24" s="452">
        <v>1.2</v>
      </c>
      <c r="B24" s="453" t="str">
        <v>Drill</v>
      </c>
      <c r="C24" s="454" t="str">
        <v>Load member cable reel</v>
      </c>
      <c r="D24" s="454" t="str">
        <v>Cable Reel used to deploy downhole load member during string installation</v>
      </c>
      <c r="E24" s="442">
        <v>84</v>
      </c>
      <c r="F24" s="442">
        <v>60</v>
      </c>
      <c r="G24" s="442">
        <v>48</v>
      </c>
      <c r="H24" s="442">
        <v>1</v>
      </c>
      <c r="I24" s="442">
        <v>140</v>
      </c>
      <c r="J24" s="442">
        <v>3800</v>
      </c>
      <c r="K24" s="441">
        <v>3800</v>
      </c>
      <c r="L24" s="455" t="str">
        <v>estimated</v>
      </c>
      <c r="M24" s="455">
        <v>0</v>
      </c>
      <c r="N24" s="455" t="str">
        <v xml:space="preserve"> U. Wisc. Madison</v>
      </c>
      <c r="O24" s="456">
        <v>31</v>
      </c>
      <c r="P24" s="429">
        <v>44849</v>
      </c>
      <c r="Q24" s="113" t="str">
        <v>UWM - PTH</v>
      </c>
      <c r="R24" s="429">
        <v>44880</v>
      </c>
      <c r="S24" s="457" t="str">
        <v>Truck</v>
      </c>
      <c r="T24" s="458" t="str">
        <v>PTH - MCM</v>
      </c>
      <c r="U24" s="458" t="str">
        <v>-</v>
      </c>
      <c r="V24" s="459" t="str">
        <v>USAP Vessel</v>
      </c>
      <c r="W24" s="460" t="str">
        <v>USAP Vessel</v>
      </c>
      <c r="X24" s="460" t="str">
        <v>-</v>
      </c>
      <c r="Y24" s="461" t="str">
        <v>-</v>
      </c>
      <c r="Z24" s="426">
        <v>44963</v>
      </c>
      <c r="AA24" s="435" t="str">
        <v>-</v>
      </c>
      <c r="AB24" s="435" t="str">
        <v>LC-130/SPoT</v>
      </c>
      <c r="AC24" s="435">
        <v>45275</v>
      </c>
      <c r="AD24" s="462" t="str">
        <v>Yes</v>
      </c>
      <c r="AE24" s="462" t="str">
        <v>FY23 inter</v>
      </c>
      <c r="AF24" s="462" t="str">
        <v>FY24 intra</v>
      </c>
      <c r="AG24" s="435" t="str">
        <v>D. Gibson</v>
      </c>
      <c r="AH24" s="435">
        <v>44477</v>
      </c>
      <c r="AI24" s="435" t="str">
        <v>I. McEwen</v>
      </c>
      <c r="AJ24" s="435">
        <v>44477</v>
      </c>
      <c r="AK24" s="462" t="str">
        <v>Required onsite in FW YR 2 for integration - recent addition, still in development</v>
      </c>
      <c r="AL24" s="451">
        <v>0</v>
      </c>
    </row>
    <row r="25" spans="1:38" ht="33.950000000000003">
      <c r="A25" s="452">
        <v>1.2</v>
      </c>
      <c r="B25" s="453" t="str">
        <v>Installation</v>
      </c>
      <c r="C25" s="454" t="str">
        <v>DOM Handling Facility (DHF)</v>
      </c>
      <c r="D25" s="454" t="str">
        <v>Standard vessel shipping - can overwinter in McM.</v>
      </c>
      <c r="E25" s="442">
        <v>240</v>
      </c>
      <c r="F25" s="442">
        <v>96</v>
      </c>
      <c r="G25" s="442">
        <v>96</v>
      </c>
      <c r="H25" s="442">
        <v>1</v>
      </c>
      <c r="I25" s="442">
        <v>1280</v>
      </c>
      <c r="J25" s="442">
        <v>12000</v>
      </c>
      <c r="K25" s="441">
        <v>12000</v>
      </c>
      <c r="L25" s="455" t="str">
        <v>estimated</v>
      </c>
      <c r="M25" s="455">
        <v>0</v>
      </c>
      <c r="N25" s="455" t="str">
        <v xml:space="preserve"> U. Wisc. Madison</v>
      </c>
      <c r="O25" s="456">
        <v>117</v>
      </c>
      <c r="P25" s="429">
        <v>44763</v>
      </c>
      <c r="Q25" s="113" t="str">
        <v>UWM - PTH</v>
      </c>
      <c r="R25" s="429">
        <v>44880</v>
      </c>
      <c r="S25" s="457" t="str">
        <v>Truck</v>
      </c>
      <c r="T25" s="458" t="str">
        <v>PTH - MCM</v>
      </c>
      <c r="U25" s="458" t="str">
        <v>-</v>
      </c>
      <c r="V25" s="459" t="str">
        <v>USAP Vessel</v>
      </c>
      <c r="W25" s="460" t="str">
        <v>USAP Vessel</v>
      </c>
      <c r="X25" s="460" t="str">
        <v>-</v>
      </c>
      <c r="Y25" s="461" t="str">
        <v>-</v>
      </c>
      <c r="Z25" s="426">
        <v>44963</v>
      </c>
      <c r="AA25" s="435" t="str">
        <v>-</v>
      </c>
      <c r="AB25" s="435" t="str">
        <v>LC-130/SPoT</v>
      </c>
      <c r="AC25" s="435">
        <v>45261</v>
      </c>
      <c r="AD25" s="462" t="str">
        <v>Yes</v>
      </c>
      <c r="AE25" s="462" t="str">
        <v>FY23 inter</v>
      </c>
      <c r="AF25" s="462" t="str">
        <v>FY24 intra</v>
      </c>
      <c r="AG25" s="435" t="str">
        <v>D. Gibson</v>
      </c>
      <c r="AH25" s="435">
        <v>44477</v>
      </c>
      <c r="AI25" s="435" t="str">
        <v>I. McEwen</v>
      </c>
      <c r="AJ25" s="435">
        <v>44477</v>
      </c>
      <c r="AK25" s="462" t="str">
        <v>Sensor Handling Facility construction scheduled to begin mid-December FY24</v>
      </c>
      <c r="AL25" s="451">
        <v>0</v>
      </c>
    </row>
    <row r="26" spans="1:38" ht="33.950000000000003">
      <c r="A26" s="452">
        <v>1.2</v>
      </c>
      <c r="B26" s="453" t="str">
        <v>Drill</v>
      </c>
      <c r="C26" s="454" t="str">
        <v>Drill Heads DNF - X</v>
      </c>
      <c r="D26" s="454" t="str">
        <v>Drill Heads for winterover storage - ICL  - Do Not Freeze</v>
      </c>
      <c r="E26" s="442">
        <v>192</v>
      </c>
      <c r="F26" s="442">
        <v>24</v>
      </c>
      <c r="G26" s="442">
        <v>24</v>
      </c>
      <c r="H26" s="442">
        <v>1</v>
      </c>
      <c r="I26" s="442">
        <v>64</v>
      </c>
      <c r="J26" s="442">
        <v>1060</v>
      </c>
      <c r="K26" s="441">
        <v>1060</v>
      </c>
      <c r="L26" s="455" t="str">
        <v>actual</v>
      </c>
      <c r="M26" s="455" t="str">
        <v>DNF</v>
      </c>
      <c r="N26" s="455" t="str">
        <v xml:space="preserve"> U. Wisc. Madison</v>
      </c>
      <c r="O26" s="456">
        <v>440</v>
      </c>
      <c r="P26" s="429">
        <v>44440</v>
      </c>
      <c r="Q26" s="429" t="str">
        <v>UWM - PTH</v>
      </c>
      <c r="R26" s="429">
        <v>44880</v>
      </c>
      <c r="S26" s="457" t="str">
        <v>Truck</v>
      </c>
      <c r="T26" s="458" t="str">
        <v>PTH - MCM</v>
      </c>
      <c r="U26" s="458" t="str">
        <v>-</v>
      </c>
      <c r="V26" s="459" t="str">
        <v>USAP Vessel</v>
      </c>
      <c r="W26" s="460" t="str">
        <v>USAP Vessel</v>
      </c>
      <c r="X26" s="460" t="str">
        <v>-</v>
      </c>
      <c r="Y26" s="461" t="str">
        <v>-</v>
      </c>
      <c r="Z26" s="426">
        <v>44963</v>
      </c>
      <c r="AA26" s="435" t="str">
        <v>-</v>
      </c>
      <c r="AB26" s="435" t="str">
        <v>LC-130</v>
      </c>
      <c r="AC26" s="435">
        <v>44969</v>
      </c>
      <c r="AD26" s="462" t="str">
        <v>Yes</v>
      </c>
      <c r="AE26" s="462" t="str">
        <v>FY23 inter</v>
      </c>
      <c r="AF26" s="463" t="str">
        <v>FY23 intra</v>
      </c>
      <c r="AG26" s="435" t="str">
        <v>D. Gibson</v>
      </c>
      <c r="AH26" s="464">
        <v>44477</v>
      </c>
      <c r="AI26" s="464" t="str">
        <v>I. McEwen</v>
      </c>
      <c r="AJ26" s="435">
        <v>44477</v>
      </c>
      <c r="AK26" s="463" t="str">
        <v>One drill head shipped one year early for ull system wet-test</v>
      </c>
      <c r="AL26" s="451">
        <v>0</v>
      </c>
    </row>
    <row r="27" spans="1:38" ht="33.950000000000003">
      <c r="A27" s="452">
        <v>1.4</v>
      </c>
      <c r="B27" s="453" t="str">
        <v>Installation</v>
      </c>
      <c r="C27" s="454" t="str">
        <v>Surface Junction Boxes</v>
      </c>
      <c r="D27" s="454" t="str">
        <v xml:space="preserve">Surface Junction Boxes  can overwinter in McM if shipped earlier. 7 junction boxes </v>
      </c>
      <c r="E27" s="442">
        <v>66</v>
      </c>
      <c r="F27" s="442">
        <v>30</v>
      </c>
      <c r="G27" s="442">
        <v>14</v>
      </c>
      <c r="H27" s="442">
        <v>7</v>
      </c>
      <c r="I27" s="442">
        <v>112.29166666666667</v>
      </c>
      <c r="J27" s="442">
        <v>200</v>
      </c>
      <c r="K27" s="441">
        <v>1400</v>
      </c>
      <c r="L27" s="455" t="str">
        <v>preliminary</v>
      </c>
      <c r="M27" s="455">
        <v>0</v>
      </c>
      <c r="N27" s="455" t="str">
        <v>MSU</v>
      </c>
      <c r="O27" s="456">
        <v>14</v>
      </c>
      <c r="P27" s="429">
        <v>44866</v>
      </c>
      <c r="Q27" s="429" t="str">
        <v>MSU - PTH</v>
      </c>
      <c r="R27" s="429">
        <v>44880</v>
      </c>
      <c r="S27" s="457" t="str">
        <v>Truck</v>
      </c>
      <c r="T27" s="458" t="str">
        <v>PTH - MCM</v>
      </c>
      <c r="U27" s="458" t="str">
        <v>-</v>
      </c>
      <c r="V27" s="459" t="str">
        <v>USAP Vessel</v>
      </c>
      <c r="W27" s="460" t="str">
        <v>USAP Vessel</v>
      </c>
      <c r="X27" s="460" t="str">
        <v>-</v>
      </c>
      <c r="Y27" s="461" t="str">
        <v>-</v>
      </c>
      <c r="Z27" s="426">
        <v>44963</v>
      </c>
      <c r="AA27" s="435" t="str">
        <v>-</v>
      </c>
      <c r="AB27" s="435" t="str">
        <v>LC-130/SPoT</v>
      </c>
      <c r="AC27" s="435">
        <v>45270</v>
      </c>
      <c r="AD27" s="462" t="str">
        <v>Yes</v>
      </c>
      <c r="AE27" s="462" t="str">
        <v>FY23 inter</v>
      </c>
      <c r="AF27" s="462" t="str">
        <v>FY24 intra</v>
      </c>
      <c r="AG27" s="435" t="str">
        <v>T. DeYoung</v>
      </c>
      <c r="AH27" s="435">
        <v>44482</v>
      </c>
      <c r="AI27" s="435" t="str">
        <v>D. Tosi</v>
      </c>
      <c r="AJ27" s="435">
        <v>44480</v>
      </c>
      <c r="AK27" s="462" t="str">
        <v>Each is 66" x 30" x 14", each is 112 lbs. Assume Folding crate. Simple passive objects, work plan can probably be shifted to increase float.</v>
      </c>
      <c r="AL27" s="451">
        <v>0</v>
      </c>
    </row>
    <row r="28" spans="1:38" ht="33.950000000000003">
      <c r="A28" s="452">
        <v>1.4</v>
      </c>
      <c r="B28" s="453" t="str">
        <v>Installation</v>
      </c>
      <c r="C28" s="454" t="str">
        <v>Surface Cable Assemblies</v>
      </c>
      <c r="D28" s="454" t="str">
        <v xml:space="preserve">Palletized wooden cable drums (Qty: 7). Can overwinter in MCM. </v>
      </c>
      <c r="E28" s="442">
        <v>48</v>
      </c>
      <c r="F28" s="442">
        <v>65</v>
      </c>
      <c r="G28" s="442">
        <v>71</v>
      </c>
      <c r="H28" s="442">
        <v>7</v>
      </c>
      <c r="I28" s="442">
        <v>897.3611111111112</v>
      </c>
      <c r="J28" s="442">
        <v>1335.7142857142858</v>
      </c>
      <c r="K28" s="441">
        <v>9350</v>
      </c>
      <c r="L28" s="455" t="str">
        <v>actual</v>
      </c>
      <c r="M28" s="455">
        <v>0</v>
      </c>
      <c r="N28" s="455" t="str">
        <v>MSU</v>
      </c>
      <c r="O28" s="456">
        <v>366</v>
      </c>
      <c r="P28" s="429">
        <v>44530</v>
      </c>
      <c r="Q28" s="429" t="str">
        <v>MSU - PTH</v>
      </c>
      <c r="R28" s="429">
        <v>44896</v>
      </c>
      <c r="S28" s="457" t="str">
        <v>Truck</v>
      </c>
      <c r="T28" s="458" t="str">
        <v>PTH - MCM</v>
      </c>
      <c r="U28" s="458" t="str">
        <v>-</v>
      </c>
      <c r="V28" s="459" t="str">
        <v>USAP Vessel</v>
      </c>
      <c r="W28" s="460" t="str">
        <v>USAP Vessel</v>
      </c>
      <c r="X28" s="460" t="str">
        <v>-</v>
      </c>
      <c r="Y28" s="461" t="str">
        <v>-</v>
      </c>
      <c r="Z28" s="426">
        <v>44963</v>
      </c>
      <c r="AA28" s="435" t="str">
        <v>-</v>
      </c>
      <c r="AB28" s="435" t="str">
        <v>LC-130</v>
      </c>
      <c r="AC28" s="435">
        <v>45250</v>
      </c>
      <c r="AD28" s="462" t="str">
        <v>Yes</v>
      </c>
      <c r="AE28" s="462" t="str">
        <v>FY23 inter</v>
      </c>
      <c r="AF28" s="462" t="str">
        <v>FY24 intra</v>
      </c>
      <c r="AG28" s="435" t="str">
        <v>T. DeYoung</v>
      </c>
      <c r="AH28" s="435">
        <v>44482</v>
      </c>
      <c r="AI28" s="435" t="str">
        <v>D. Tosi</v>
      </c>
      <c r="AJ28" s="435">
        <v>44480</v>
      </c>
      <c r="AK28" s="462">
        <v>0</v>
      </c>
      <c r="AL28" s="451">
        <v>0</v>
      </c>
    </row>
    <row r="29" spans="1:38" ht="17.100000000000001">
      <c r="A29" s="452">
        <v>1.2</v>
      </c>
      <c r="B29" s="453" t="str">
        <v>Fuel</v>
      </c>
      <c r="C29" s="454" t="str">
        <v>Field Season 1 Fuel</v>
      </c>
      <c r="D29" s="465" t="str">
        <v>Fuel to support FY23 field season - Base fuel</v>
      </c>
      <c r="E29" s="442">
        <v>0</v>
      </c>
      <c r="F29" s="442">
        <v>0</v>
      </c>
      <c r="G29" s="442">
        <v>0</v>
      </c>
      <c r="H29" s="442">
        <v>3191</v>
      </c>
      <c r="I29" s="442">
        <v>426.57462315454006</v>
      </c>
      <c r="J29" s="442">
        <v>6.8</v>
      </c>
      <c r="K29" s="441">
        <v>21698.799999999999</v>
      </c>
      <c r="L29" s="455" t="str">
        <v>preliminary</v>
      </c>
      <c r="M29" s="455">
        <v>0</v>
      </c>
      <c r="N29" s="455">
        <v>0</v>
      </c>
      <c r="O29" s="456">
        <v>0</v>
      </c>
      <c r="P29" s="429" t="str">
        <v>-</v>
      </c>
      <c r="Q29" s="429" t="str">
        <v>-</v>
      </c>
      <c r="R29" s="429" t="str">
        <v>-</v>
      </c>
      <c r="S29" s="457" t="str">
        <v>-</v>
      </c>
      <c r="T29" s="458" t="str">
        <v>-</v>
      </c>
      <c r="U29" s="458" t="str">
        <v>-</v>
      </c>
      <c r="V29" s="459" t="str">
        <v>-</v>
      </c>
      <c r="W29" s="460" t="str">
        <v>-</v>
      </c>
      <c r="X29" s="460" t="str">
        <v>-</v>
      </c>
      <c r="Y29" s="461" t="str">
        <v>-</v>
      </c>
      <c r="Z29" s="426">
        <v>44866</v>
      </c>
      <c r="AA29" s="435" t="str">
        <v>-</v>
      </c>
      <c r="AB29" s="435" t="str">
        <v>LC-130/SPoT</v>
      </c>
      <c r="AC29" s="435">
        <v>44896</v>
      </c>
      <c r="AD29" s="462" t="str">
        <v>Yes</v>
      </c>
      <c r="AE29" s="462" t="str">
        <v>FY23 inter</v>
      </c>
      <c r="AF29" s="463" t="str">
        <v>FY23 intra</v>
      </c>
      <c r="AG29" s="435" t="str">
        <v>T. Benson</v>
      </c>
      <c r="AH29" s="464">
        <v>44483</v>
      </c>
      <c r="AI29" s="464" t="str">
        <v>I. McEwen</v>
      </c>
      <c r="AJ29" s="435">
        <v>44483</v>
      </c>
      <c r="AK29" s="463">
        <v>0</v>
      </c>
      <c r="AL29" s="451">
        <v>0</v>
      </c>
    </row>
    <row r="30" spans="1:38" ht="17.100000000000001">
      <c r="A30" s="452">
        <v>1.2</v>
      </c>
      <c r="B30" s="453">
        <v>0</v>
      </c>
      <c r="C30" s="454" t="str">
        <v>Field Season 1 Fuel Contingency</v>
      </c>
      <c r="D30" s="454" t="str">
        <v>Fuel to support FY23 field season - Contingency</v>
      </c>
      <c r="E30" s="442">
        <v>0</v>
      </c>
      <c r="F30" s="442">
        <v>0</v>
      </c>
      <c r="G30" s="442">
        <v>0</v>
      </c>
      <c r="H30" s="442">
        <v>452</v>
      </c>
      <c r="I30" s="442">
        <v>60.423606915027293</v>
      </c>
      <c r="J30" s="442">
        <v>6.8</v>
      </c>
      <c r="K30" s="441">
        <v>3073.6</v>
      </c>
      <c r="L30" s="455" t="str">
        <v>preliminary</v>
      </c>
      <c r="M30" s="455">
        <v>0</v>
      </c>
      <c r="N30" s="455">
        <v>0</v>
      </c>
      <c r="O30" s="456">
        <v>0</v>
      </c>
      <c r="P30" s="429" t="str">
        <v>-</v>
      </c>
      <c r="Q30" s="429" t="str">
        <v>-</v>
      </c>
      <c r="R30" s="429" t="str">
        <v>-</v>
      </c>
      <c r="S30" s="457" t="str">
        <v>-</v>
      </c>
      <c r="T30" s="458" t="str">
        <v>-</v>
      </c>
      <c r="U30" s="458" t="str">
        <v>-</v>
      </c>
      <c r="V30" s="459" t="str">
        <v>-</v>
      </c>
      <c r="W30" s="460" t="str">
        <v>-</v>
      </c>
      <c r="X30" s="460" t="str">
        <v>-</v>
      </c>
      <c r="Y30" s="461" t="str">
        <v>-</v>
      </c>
      <c r="Z30" s="426">
        <v>44866</v>
      </c>
      <c r="AA30" s="435" t="str">
        <v>-</v>
      </c>
      <c r="AB30" s="435" t="str">
        <v>LC-130/SPoT</v>
      </c>
      <c r="AC30" s="435">
        <v>44896</v>
      </c>
      <c r="AD30" s="462" t="str">
        <v>Yes</v>
      </c>
      <c r="AE30" s="462" t="str">
        <v>FY23 inter</v>
      </c>
      <c r="AF30" s="463" t="str">
        <v>FY23 intra</v>
      </c>
      <c r="AG30" s="435" t="str">
        <v>T. Benson</v>
      </c>
      <c r="AH30" s="464">
        <v>44483</v>
      </c>
      <c r="AI30" s="464" t="str">
        <v>I. McEwen</v>
      </c>
      <c r="AJ30" s="435">
        <v>44483</v>
      </c>
      <c r="AK30" s="463">
        <v>0</v>
      </c>
      <c r="AL30" s="451">
        <v>0</v>
      </c>
    </row>
    <row r="31" spans="1:38">
      <c r="A31" s="466"/>
      <c r="B31" s="451"/>
      <c r="C31" s="451"/>
      <c r="D31" s="451"/>
      <c r="E31" s="467"/>
      <c r="F31" s="467"/>
      <c r="G31" s="467"/>
      <c r="H31" s="467"/>
      <c r="I31" s="136">
        <f>SUBTOTAL(9,I16:I30)</f>
        <v>9729.4936004399369</v>
      </c>
      <c r="J31" s="136"/>
      <c r="K31" s="136">
        <f t="shared" ref="K31" si="1">SUBTOTAL(9,K16:K30)</f>
        <v>111629.40000000001</v>
      </c>
      <c r="L31" s="451"/>
      <c r="M31" s="451"/>
      <c r="N31" s="451"/>
      <c r="O31" s="468"/>
      <c r="P31" s="469"/>
      <c r="Q31" s="469"/>
      <c r="R31" s="469"/>
      <c r="S31" s="451"/>
      <c r="T31" s="469"/>
      <c r="U31" s="469"/>
      <c r="V31" s="451"/>
      <c r="W31" s="469"/>
      <c r="X31" s="469"/>
      <c r="Y31" s="469"/>
      <c r="Z31" s="469"/>
      <c r="AA31" s="469"/>
      <c r="AB31" s="469"/>
      <c r="AC31" s="469"/>
      <c r="AD31" s="451"/>
      <c r="AE31" s="451"/>
      <c r="AF31" s="451"/>
      <c r="AG31" s="469"/>
      <c r="AH31" s="469"/>
      <c r="AI31" s="469"/>
      <c r="AJ31" s="469"/>
      <c r="AK31" s="451"/>
      <c r="AL31" s="451"/>
    </row>
    <row r="35" spans="1:38" ht="18.95">
      <c r="A35" s="252" t="s">
        <v>429</v>
      </c>
      <c r="B35" s="221" t="s">
        <v>345</v>
      </c>
      <c r="C35" s="222"/>
      <c r="D35" s="222"/>
      <c r="E35" s="224"/>
      <c r="F35" s="224"/>
      <c r="G35" s="224"/>
      <c r="H35" s="224"/>
      <c r="I35" s="224"/>
      <c r="J35" s="224"/>
      <c r="K35" s="224"/>
      <c r="L35" s="222"/>
      <c r="M35" s="222"/>
      <c r="N35" s="222"/>
      <c r="O35" s="396"/>
      <c r="P35" s="226"/>
      <c r="Q35" s="226"/>
      <c r="R35" s="226"/>
      <c r="S35" s="222"/>
      <c r="T35" s="226"/>
      <c r="U35" s="226"/>
      <c r="V35" s="222"/>
      <c r="W35" s="226"/>
      <c r="X35" s="226"/>
      <c r="Y35" s="226"/>
      <c r="Z35" s="226"/>
      <c r="AA35" s="226"/>
      <c r="AB35" s="226"/>
      <c r="AC35" s="226"/>
      <c r="AD35" s="222"/>
      <c r="AE35" s="222"/>
      <c r="AF35" s="222"/>
      <c r="AG35" s="226"/>
      <c r="AH35" s="222"/>
      <c r="AI35" s="222"/>
      <c r="AJ35" s="222"/>
      <c r="AK35" s="226"/>
      <c r="AL35" s="451"/>
    </row>
    <row r="36" spans="1:38" ht="51">
      <c r="A36" s="470" cm="1">
        <f t="array" ref="A36:AL52">_xlfn._xlws.FILTER(cargo_table, intra_shipping_label=B35)</f>
        <v>1.2</v>
      </c>
      <c r="B36" s="453" t="str">
        <v>Drill</v>
      </c>
      <c r="C36" s="471" t="str">
        <v>Gen 2 - housed in 20' container</v>
      </c>
      <c r="D36" s="472" t="str">
        <v>Power generation unit 2 housed in 20' shipping container</v>
      </c>
      <c r="E36" s="441">
        <v>240</v>
      </c>
      <c r="F36" s="441">
        <v>96</v>
      </c>
      <c r="G36" s="441">
        <v>102</v>
      </c>
      <c r="H36" s="441">
        <v>1</v>
      </c>
      <c r="I36" s="441">
        <v>1360</v>
      </c>
      <c r="J36" s="441">
        <v>22000</v>
      </c>
      <c r="K36" s="441">
        <v>22000</v>
      </c>
      <c r="L36" s="462" t="str">
        <v>actual</v>
      </c>
      <c r="M36" s="462">
        <v>0</v>
      </c>
      <c r="N36" s="462" t="str">
        <v xml:space="preserve"> U. Wisc. Madison</v>
      </c>
      <c r="O36" s="473" t="str">
        <v>In McMurdo</v>
      </c>
      <c r="P36" s="429">
        <v>43845</v>
      </c>
      <c r="Q36" s="429" t="str">
        <v>In McMurdo</v>
      </c>
      <c r="R36" s="429" t="str">
        <v>-</v>
      </c>
      <c r="S36" s="457" t="str">
        <v>-</v>
      </c>
      <c r="T36" s="458" t="str">
        <v>In McMurdo</v>
      </c>
      <c r="U36" s="458" t="str">
        <v>-</v>
      </c>
      <c r="V36" s="459" t="str">
        <v>-</v>
      </c>
      <c r="W36" s="460" t="str">
        <v>In McMurdo</v>
      </c>
      <c r="X36" s="460" t="str">
        <v>-</v>
      </c>
      <c r="Y36" s="88" t="str">
        <v>-</v>
      </c>
      <c r="Z36" s="426" t="str">
        <v>In McMurdo</v>
      </c>
      <c r="AA36" s="435" t="str">
        <v>-</v>
      </c>
      <c r="AB36" s="435" t="str">
        <v>SPoT</v>
      </c>
      <c r="AC36" s="435">
        <v>44927</v>
      </c>
      <c r="AD36" s="462" t="str">
        <v>Yes</v>
      </c>
      <c r="AE36" s="462" t="str">
        <v>In McMurdo</v>
      </c>
      <c r="AF36" s="462" t="str">
        <v>FY23 intra</v>
      </c>
      <c r="AG36" s="435" t="str">
        <v>D. Gibson</v>
      </c>
      <c r="AH36" s="435">
        <v>44475</v>
      </c>
      <c r="AI36" s="435" t="str">
        <v>I. McEwen</v>
      </c>
      <c r="AJ36" s="435">
        <v>44475</v>
      </c>
      <c r="AK36" s="462" t="str">
        <v>Gens 2 &amp; 3 need to be tranferred from ISO2 sleds that are limited to use on improved surfaces only. Will require crane for onload/offload  - use belly band to support container sidewalls during lift.</v>
      </c>
      <c r="AL36" s="451">
        <v>0</v>
      </c>
    </row>
    <row r="37" spans="1:38" ht="51">
      <c r="A37" s="474">
        <v>1.2</v>
      </c>
      <c r="B37" s="475" t="str">
        <v>Drill</v>
      </c>
      <c r="C37" s="465" t="str">
        <v>Gen 3 - housed in 20' container</v>
      </c>
      <c r="D37" s="465" t="str">
        <v>Power generation unit 3 housed in 20' shipping container</v>
      </c>
      <c r="E37" s="441">
        <v>240</v>
      </c>
      <c r="F37" s="441">
        <v>96</v>
      </c>
      <c r="G37" s="441">
        <v>102</v>
      </c>
      <c r="H37" s="445">
        <v>1</v>
      </c>
      <c r="I37" s="441">
        <v>1360</v>
      </c>
      <c r="J37" s="441">
        <v>22000</v>
      </c>
      <c r="K37" s="441">
        <v>22000</v>
      </c>
      <c r="L37" s="462" t="str">
        <v>actual</v>
      </c>
      <c r="M37" s="476">
        <v>0</v>
      </c>
      <c r="N37" s="462" t="str">
        <v xml:space="preserve"> U. Wisc. Madison</v>
      </c>
      <c r="O37" s="473" t="str">
        <v>In McMurdo</v>
      </c>
      <c r="P37" s="429">
        <v>43845</v>
      </c>
      <c r="Q37" s="429" t="str">
        <v>In McMurdo</v>
      </c>
      <c r="R37" s="429" t="str">
        <v>-</v>
      </c>
      <c r="S37" s="457" t="str">
        <v>-</v>
      </c>
      <c r="T37" s="458" t="str">
        <v>In McMurdo</v>
      </c>
      <c r="U37" s="458" t="str">
        <v>-</v>
      </c>
      <c r="V37" s="459" t="str">
        <v>-</v>
      </c>
      <c r="W37" s="460" t="str">
        <v>In McMurdo</v>
      </c>
      <c r="X37" s="460" t="str">
        <v>-</v>
      </c>
      <c r="Y37" s="88" t="str">
        <v>-</v>
      </c>
      <c r="Z37" s="426" t="str">
        <v>In McMurdo</v>
      </c>
      <c r="AA37" s="435" t="str">
        <v>-</v>
      </c>
      <c r="AB37" s="435" t="str">
        <v>SPoT</v>
      </c>
      <c r="AC37" s="435">
        <v>44896</v>
      </c>
      <c r="AD37" s="462" t="str">
        <v>Yes</v>
      </c>
      <c r="AE37" s="462" t="str">
        <v>In McMurdo</v>
      </c>
      <c r="AF37" s="462" t="str">
        <v>FY23 intra</v>
      </c>
      <c r="AG37" s="435" t="str">
        <v>D. Gibson</v>
      </c>
      <c r="AH37" s="435">
        <v>44475</v>
      </c>
      <c r="AI37" s="435" t="str">
        <v>I. McEwen</v>
      </c>
      <c r="AJ37" s="435">
        <v>44475</v>
      </c>
      <c r="AK37" s="462" t="str">
        <v>Gens 2 &amp; 3 need to be tranferred from ISO2 sleds that are limited to use on improved surfaces only. Will require crane for onload/offload  - use belly band to support container sidewalls during lift.</v>
      </c>
      <c r="AL37" s="451">
        <v>0</v>
      </c>
    </row>
    <row r="38" spans="1:38" ht="51">
      <c r="A38" s="477">
        <v>1.2</v>
      </c>
      <c r="B38" s="475" t="str">
        <v>Drill</v>
      </c>
      <c r="C38" s="472" t="str">
        <v>287 Loader</v>
      </c>
      <c r="D38" s="472" t="str">
        <v>Required onsite early in FY23 for refit/pre-drill activity support unless ASC can supply dedicated loader for Upgrade use</v>
      </c>
      <c r="E38" s="445">
        <v>114</v>
      </c>
      <c r="F38" s="445">
        <v>77</v>
      </c>
      <c r="G38" s="445">
        <v>96</v>
      </c>
      <c r="H38" s="445">
        <v>1</v>
      </c>
      <c r="I38" s="441">
        <v>487.66666666666669</v>
      </c>
      <c r="J38" s="441">
        <v>10273</v>
      </c>
      <c r="K38" s="441">
        <v>10273</v>
      </c>
      <c r="L38" s="462" t="str">
        <v>actual</v>
      </c>
      <c r="M38" s="463">
        <v>0</v>
      </c>
      <c r="N38" s="462" t="str">
        <v xml:space="preserve"> U. Wisc. Madison</v>
      </c>
      <c r="O38" s="473" t="str">
        <v>In McMurdo</v>
      </c>
      <c r="P38" s="429">
        <v>43753</v>
      </c>
      <c r="Q38" s="429" t="str">
        <v>In McMurdo</v>
      </c>
      <c r="R38" s="429">
        <v>43784</v>
      </c>
      <c r="S38" s="457" t="str">
        <v>Truck</v>
      </c>
      <c r="T38" s="458" t="str">
        <v>In McMurdo</v>
      </c>
      <c r="U38" s="458" t="str">
        <v>-</v>
      </c>
      <c r="V38" s="459" t="str">
        <v>-</v>
      </c>
      <c r="W38" s="460" t="str">
        <v>In McMurdo</v>
      </c>
      <c r="X38" s="460" t="str">
        <v>-</v>
      </c>
      <c r="Y38" s="88" t="str">
        <v>-</v>
      </c>
      <c r="Z38" s="426" t="str">
        <v>In McMurdo</v>
      </c>
      <c r="AA38" s="435" t="str">
        <v>-</v>
      </c>
      <c r="AB38" s="435" t="str">
        <v>LC-130/SPoT</v>
      </c>
      <c r="AC38" s="435">
        <v>44896</v>
      </c>
      <c r="AD38" s="462" t="str">
        <v>No*</v>
      </c>
      <c r="AE38" s="462" t="str">
        <v>In McMurdo</v>
      </c>
      <c r="AF38" s="462" t="str">
        <v>FY23 intra</v>
      </c>
      <c r="AG38" s="435" t="str">
        <v>D. Gibson</v>
      </c>
      <c r="AH38" s="435">
        <v>44476</v>
      </c>
      <c r="AI38" s="435" t="str">
        <v>I. McEwen</v>
      </c>
      <c r="AJ38" s="435">
        <v>44476</v>
      </c>
      <c r="AK38" s="462" t="str">
        <v>*Required onsite early in FY23 for refit/pre-drill activity support unless ASC can supply dedicated loader for Upgrade use</v>
      </c>
      <c r="AL38" s="451">
        <v>0</v>
      </c>
    </row>
    <row r="39" spans="1:38" ht="33.950000000000003">
      <c r="A39" s="470">
        <v>1.2</v>
      </c>
      <c r="B39" s="453" t="str">
        <v>Drill</v>
      </c>
      <c r="C39" s="471" t="str">
        <v>Fuel Tower</v>
      </c>
      <c r="D39" s="471" t="str">
        <v xml:space="preserve">Bermed in McM - will require McM fork or crane support. </v>
      </c>
      <c r="E39" s="441">
        <v>96</v>
      </c>
      <c r="F39" s="441">
        <v>72</v>
      </c>
      <c r="G39" s="441">
        <v>120</v>
      </c>
      <c r="H39" s="441">
        <v>1</v>
      </c>
      <c r="I39" s="441">
        <v>480</v>
      </c>
      <c r="J39" s="441">
        <v>1500</v>
      </c>
      <c r="K39" s="441">
        <v>1500</v>
      </c>
      <c r="L39" s="462" t="str">
        <v>actual</v>
      </c>
      <c r="M39" s="462">
        <v>0</v>
      </c>
      <c r="N39" s="462" t="str">
        <v xml:space="preserve"> U. Wisc. Madison</v>
      </c>
      <c r="O39" s="473" t="str">
        <v>In McMurdo</v>
      </c>
      <c r="P39" s="429">
        <v>43845</v>
      </c>
      <c r="Q39" s="429" t="str">
        <v>In McMurdo</v>
      </c>
      <c r="R39" s="429" t="str">
        <v>-</v>
      </c>
      <c r="S39" s="457" t="str">
        <v>-</v>
      </c>
      <c r="T39" s="458" t="str">
        <v>In McMurdo</v>
      </c>
      <c r="U39" s="458" t="str">
        <v>-</v>
      </c>
      <c r="V39" s="459" t="str">
        <v>-</v>
      </c>
      <c r="W39" s="460" t="str">
        <v>In McMurdo</v>
      </c>
      <c r="X39" s="460" t="str">
        <v>-</v>
      </c>
      <c r="Y39" s="88" t="str">
        <v>-</v>
      </c>
      <c r="Z39" s="426" t="str">
        <v>In McMurdo</v>
      </c>
      <c r="AA39" s="435" t="str">
        <v>-</v>
      </c>
      <c r="AB39" s="435" t="str">
        <v>LC-130/SPoT</v>
      </c>
      <c r="AC39" s="435">
        <v>44927</v>
      </c>
      <c r="AD39" s="462" t="str">
        <v>Yes</v>
      </c>
      <c r="AE39" s="462" t="str">
        <v>In McMurdo</v>
      </c>
      <c r="AF39" s="462" t="str">
        <v>FY23 intra</v>
      </c>
      <c r="AG39" s="435" t="str">
        <v>D. Gibson</v>
      </c>
      <c r="AH39" s="435">
        <v>44477</v>
      </c>
      <c r="AI39" s="435" t="str">
        <v>I. McEwen</v>
      </c>
      <c r="AJ39" s="435">
        <v>44477</v>
      </c>
      <c r="AK39" s="462" t="str">
        <v>Bermed in McMurdo - SPOTSA on UNL flatrack - overland shipment preferred due to complexities of air transport certification - can be laid on side once drained</v>
      </c>
      <c r="AL39" s="451">
        <v>0</v>
      </c>
    </row>
    <row r="40" spans="1:38" ht="51">
      <c r="A40" s="470">
        <v>1.2</v>
      </c>
      <c r="B40" s="453" t="str">
        <v>Drill</v>
      </c>
      <c r="C40" s="471" t="str">
        <v>Container Ski Stack (comprised of 5 sleds) -  currently staged in Pt. Hueneme</v>
      </c>
      <c r="D40" s="471" t="str">
        <v>Five sets of aluminum skis for 20' containers - stacked. Aluminum skis for drill containers. Required onsite for local movement of Gens and PDM.</v>
      </c>
      <c r="E40" s="441">
        <v>240</v>
      </c>
      <c r="F40" s="441">
        <v>96</v>
      </c>
      <c r="G40" s="441">
        <v>96</v>
      </c>
      <c r="H40" s="441">
        <v>1</v>
      </c>
      <c r="I40" s="441">
        <v>1280</v>
      </c>
      <c r="J40" s="441">
        <v>4255</v>
      </c>
      <c r="K40" s="441">
        <v>4255</v>
      </c>
      <c r="L40" s="462" t="str">
        <v>actual</v>
      </c>
      <c r="M40" s="462">
        <v>0</v>
      </c>
      <c r="N40" s="462" t="str">
        <v xml:space="preserve"> U. Wisc. Madison</v>
      </c>
      <c r="O40" s="473" t="str">
        <v>Already at PTH</v>
      </c>
      <c r="P40" s="429">
        <v>44193</v>
      </c>
      <c r="Q40" s="429" t="str">
        <v>Already at PTH</v>
      </c>
      <c r="R40" s="429">
        <v>44211</v>
      </c>
      <c r="S40" s="457" t="str">
        <v>Truck</v>
      </c>
      <c r="T40" s="458" t="str">
        <v>PTH - MCM</v>
      </c>
      <c r="U40" s="458" t="str">
        <v>-</v>
      </c>
      <c r="V40" s="459" t="str">
        <v>USAP Vessel</v>
      </c>
      <c r="W40" s="460" t="str">
        <v>USAP Vessel</v>
      </c>
      <c r="X40" s="460" t="str">
        <v>-</v>
      </c>
      <c r="Y40" s="88" t="str">
        <v>-</v>
      </c>
      <c r="Z40" s="426">
        <v>44598</v>
      </c>
      <c r="AA40" s="435" t="str">
        <v>-</v>
      </c>
      <c r="AB40" s="435" t="str">
        <v>LC-130/SPoT</v>
      </c>
      <c r="AC40" s="435">
        <v>44910</v>
      </c>
      <c r="AD40" s="462" t="str">
        <v>No*</v>
      </c>
      <c r="AE40" s="462" t="str">
        <v>FY22 inter</v>
      </c>
      <c r="AF40" s="462" t="str">
        <v>FY23 intra</v>
      </c>
      <c r="AG40" s="435" t="str">
        <v>D. Gibson</v>
      </c>
      <c r="AH40" s="435">
        <v>44477</v>
      </c>
      <c r="AI40" s="435" t="str">
        <v>I. McEwen</v>
      </c>
      <c r="AJ40" s="435">
        <v>44477</v>
      </c>
      <c r="AK40" s="462" t="str">
        <v>*While this shipment is not on the critical path additional ASC crane support will be required to overcome delayed arrival or sleds furnished from the South Pole inventory</v>
      </c>
      <c r="AL40" s="451">
        <v>0</v>
      </c>
    </row>
    <row r="41" spans="1:38" ht="51">
      <c r="A41" s="477">
        <v>1.2</v>
      </c>
      <c r="B41" s="475" t="str">
        <v>Drill</v>
      </c>
      <c r="C41" s="472" t="str">
        <v>8' Refit Container</v>
      </c>
      <c r="D41" s="472" t="str">
        <v>Priority refit materials including tools, flowmeter assemblies, motor drive installation kits, hardware, fittings, sensors, &amp; consumables</v>
      </c>
      <c r="E41" s="445">
        <v>96</v>
      </c>
      <c r="F41" s="445">
        <v>86</v>
      </c>
      <c r="G41" s="445">
        <v>96</v>
      </c>
      <c r="H41" s="445">
        <v>1</v>
      </c>
      <c r="I41" s="441">
        <v>458.66666666666669</v>
      </c>
      <c r="J41" s="441">
        <v>5600</v>
      </c>
      <c r="K41" s="441">
        <v>5600</v>
      </c>
      <c r="L41" s="462" t="str">
        <v>estimated</v>
      </c>
      <c r="M41" s="463">
        <v>0</v>
      </c>
      <c r="N41" s="462" t="str">
        <v xml:space="preserve"> U. Wisc. Madison</v>
      </c>
      <c r="O41" s="473">
        <v>12</v>
      </c>
      <c r="P41" s="429">
        <v>44503</v>
      </c>
      <c r="Q41" s="429" t="str">
        <v>UWM - PTH</v>
      </c>
      <c r="R41" s="429">
        <v>44515</v>
      </c>
      <c r="S41" s="457" t="str">
        <v xml:space="preserve"> Truck</v>
      </c>
      <c r="T41" s="458" t="str">
        <v>PTH - MCM</v>
      </c>
      <c r="U41" s="458" t="str">
        <v>-</v>
      </c>
      <c r="V41" s="459" t="str">
        <v>USAP Vessel</v>
      </c>
      <c r="W41" s="460" t="str">
        <v>USAP Vessel</v>
      </c>
      <c r="X41" s="460" t="str">
        <v>-</v>
      </c>
      <c r="Y41" s="88" t="str">
        <v>-</v>
      </c>
      <c r="Z41" s="426">
        <v>44598</v>
      </c>
      <c r="AA41" s="435" t="str">
        <v>-</v>
      </c>
      <c r="AB41" s="435" t="str">
        <v>LC-130</v>
      </c>
      <c r="AC41" s="435">
        <v>44880</v>
      </c>
      <c r="AD41" s="462" t="str">
        <v>Yes</v>
      </c>
      <c r="AE41" s="462" t="str">
        <v>FY22 inter</v>
      </c>
      <c r="AF41" s="462" t="str">
        <v>FY23 intra</v>
      </c>
      <c r="AG41" s="435" t="str">
        <v>D. Gibson</v>
      </c>
      <c r="AH41" s="435">
        <v>44477</v>
      </c>
      <c r="AI41" s="435" t="str">
        <v>I. McEwen</v>
      </c>
      <c r="AJ41" s="435">
        <v>44477</v>
      </c>
      <c r="AK41" s="462" t="str">
        <v xml:space="preserve">8' container moves with contents by LC130 or is broken down for movement by Basler. Packing in progress. </v>
      </c>
      <c r="AL41" s="451">
        <v>0</v>
      </c>
    </row>
    <row r="42" spans="1:38" ht="51">
      <c r="A42" s="477">
        <v>1.2</v>
      </c>
      <c r="B42" s="475" t="str">
        <v>Drill</v>
      </c>
      <c r="C42" s="472" t="str">
        <v>20' Refit Container A</v>
      </c>
      <c r="D42" s="472" t="str">
        <v>Refit materials incl. submersible pumps, hardware, filtration components, fall arrest towers, tools, &amp; hose crimper</v>
      </c>
      <c r="E42" s="445">
        <v>240</v>
      </c>
      <c r="F42" s="445">
        <v>96</v>
      </c>
      <c r="G42" s="445">
        <v>102</v>
      </c>
      <c r="H42" s="445">
        <v>1</v>
      </c>
      <c r="I42" s="441">
        <v>1360</v>
      </c>
      <c r="J42" s="441">
        <v>17500</v>
      </c>
      <c r="K42" s="441">
        <v>17500</v>
      </c>
      <c r="L42" s="462" t="str">
        <v>estimated</v>
      </c>
      <c r="M42" s="463">
        <v>0</v>
      </c>
      <c r="N42" s="462" t="str">
        <v xml:space="preserve"> U. Wisc. Madison</v>
      </c>
      <c r="O42" s="473">
        <v>2</v>
      </c>
      <c r="P42" s="429">
        <v>44513</v>
      </c>
      <c r="Q42" s="429" t="str">
        <v>UWM - PTH</v>
      </c>
      <c r="R42" s="429">
        <v>44515</v>
      </c>
      <c r="S42" s="457" t="str">
        <v xml:space="preserve"> Truck</v>
      </c>
      <c r="T42" s="458" t="str">
        <v>PTH - MCM</v>
      </c>
      <c r="U42" s="458" t="str">
        <v>-</v>
      </c>
      <c r="V42" s="459" t="str">
        <v>USAP Vessel</v>
      </c>
      <c r="W42" s="460" t="str">
        <v>USAP Vessel</v>
      </c>
      <c r="X42" s="460" t="str">
        <v>-</v>
      </c>
      <c r="Y42" s="88" t="str">
        <v>-</v>
      </c>
      <c r="Z42" s="426">
        <v>44598</v>
      </c>
      <c r="AA42" s="435" t="str">
        <v>-</v>
      </c>
      <c r="AB42" s="435" t="str">
        <v>LC-130/SPoT</v>
      </c>
      <c r="AC42" s="435">
        <v>44896</v>
      </c>
      <c r="AD42" s="462" t="str">
        <v>Yes</v>
      </c>
      <c r="AE42" s="462" t="str">
        <v>FY22 inter</v>
      </c>
      <c r="AF42" s="462" t="str">
        <v>FY23 intra</v>
      </c>
      <c r="AG42" s="435" t="str">
        <v>D. Gibson</v>
      </c>
      <c r="AH42" s="435">
        <v>44477</v>
      </c>
      <c r="AI42" s="435" t="str">
        <v>I. McEwen</v>
      </c>
      <c r="AJ42" s="435">
        <v>44477</v>
      </c>
      <c r="AK42" s="462" t="str">
        <v xml:space="preserve">For air shipment container contents will need to be unloaded and palletized. Container procurement delayed by shortage. Packing in progress. </v>
      </c>
      <c r="AL42" s="451">
        <v>0</v>
      </c>
    </row>
    <row r="43" spans="1:38" ht="68.099999999999994">
      <c r="A43" s="470">
        <v>1.2</v>
      </c>
      <c r="B43" s="453" t="str">
        <v>Drill</v>
      </c>
      <c r="C43" s="471" t="str">
        <v>20' Refit Container B</v>
      </c>
      <c r="D43" s="471" t="str">
        <v>Bulky materials incl. cable trays, vertical turbine pumps, vertical turbine pump motors, ladders, water tank doghouse/railing materials, 287 forks, generator parts, TU20 shaft, &amp; drill weight stack</v>
      </c>
      <c r="E43" s="441">
        <v>240</v>
      </c>
      <c r="F43" s="441">
        <v>96</v>
      </c>
      <c r="G43" s="441">
        <v>102</v>
      </c>
      <c r="H43" s="441">
        <v>1</v>
      </c>
      <c r="I43" s="442">
        <v>1360</v>
      </c>
      <c r="J43" s="442">
        <v>14280</v>
      </c>
      <c r="K43" s="441">
        <v>14280</v>
      </c>
      <c r="L43" s="455" t="str">
        <v>actual</v>
      </c>
      <c r="M43" s="462">
        <v>0</v>
      </c>
      <c r="N43" s="462" t="str">
        <v xml:space="preserve"> U. Wisc. Madison</v>
      </c>
      <c r="O43" s="473" t="str">
        <v>in transit</v>
      </c>
      <c r="P43" s="429">
        <v>44502</v>
      </c>
      <c r="Q43" s="113" t="str">
        <v>UWM - PTH</v>
      </c>
      <c r="R43" s="429">
        <v>44515</v>
      </c>
      <c r="S43" s="457" t="str">
        <v>Truck</v>
      </c>
      <c r="T43" s="458" t="str">
        <v>PTH - MCM</v>
      </c>
      <c r="U43" s="458" t="str">
        <v>-</v>
      </c>
      <c r="V43" s="459" t="str">
        <v>USAP Vessel</v>
      </c>
      <c r="W43" s="460" t="str">
        <v>USAP Vessel</v>
      </c>
      <c r="X43" s="460" t="str">
        <v>-</v>
      </c>
      <c r="Y43" s="461" t="str">
        <v>-</v>
      </c>
      <c r="Z43" s="426">
        <v>44598</v>
      </c>
      <c r="AA43" s="435" t="str">
        <v>-</v>
      </c>
      <c r="AB43" s="435" t="str">
        <v>LC-130/SPoT</v>
      </c>
      <c r="AC43" s="435">
        <v>44910</v>
      </c>
      <c r="AD43" s="462" t="str">
        <v>Yes</v>
      </c>
      <c r="AE43" s="462" t="str">
        <v>FY22 inter</v>
      </c>
      <c r="AF43" s="463" t="str">
        <v>FY23 intra</v>
      </c>
      <c r="AG43" s="464" t="str">
        <v>D. Gibson</v>
      </c>
      <c r="AH43" s="464">
        <v>44477</v>
      </c>
      <c r="AI43" s="464" t="str">
        <v>I. McEwen</v>
      </c>
      <c r="AJ43" s="435">
        <v>44477</v>
      </c>
      <c r="AK43" s="462" t="str">
        <v>For air shipment container contents will need to be unloaded and palletized</v>
      </c>
      <c r="AL43" s="451">
        <v>0</v>
      </c>
    </row>
    <row r="44" spans="1:38" ht="51">
      <c r="A44" s="470">
        <v>1.2</v>
      </c>
      <c r="B44" s="453" t="str">
        <v>Drill</v>
      </c>
      <c r="C44" s="471" t="str">
        <v>ARA Trailer</v>
      </c>
      <c r="D44" s="471" t="str">
        <v>Enclosed trailer on skis housing 35kw generator</v>
      </c>
      <c r="E44" s="441">
        <v>192</v>
      </c>
      <c r="F44" s="441">
        <v>96</v>
      </c>
      <c r="G44" s="441">
        <v>88</v>
      </c>
      <c r="H44" s="441">
        <v>1</v>
      </c>
      <c r="I44" s="442">
        <v>938.66666666666663</v>
      </c>
      <c r="J44" s="442">
        <v>5400</v>
      </c>
      <c r="K44" s="441">
        <v>5400</v>
      </c>
      <c r="L44" s="455" t="str">
        <v>actual</v>
      </c>
      <c r="M44" s="462" t="str">
        <v>FLAMMABLE liquid power engine</v>
      </c>
      <c r="N44" s="462" t="str">
        <v xml:space="preserve"> U. Wisc. Madison</v>
      </c>
      <c r="O44" s="473" t="str">
        <v>in transit</v>
      </c>
      <c r="P44" s="429">
        <v>44502</v>
      </c>
      <c r="Q44" s="113" t="str">
        <v>UWM - PTH</v>
      </c>
      <c r="R44" s="429">
        <v>44515</v>
      </c>
      <c r="S44" s="457" t="str">
        <v xml:space="preserve"> Truck</v>
      </c>
      <c r="T44" s="458" t="str">
        <v>PTH - MCM</v>
      </c>
      <c r="U44" s="458" t="str">
        <v>-</v>
      </c>
      <c r="V44" s="459" t="str">
        <v>USAP Vessel</v>
      </c>
      <c r="W44" s="460" t="str">
        <v>USAP Vessel</v>
      </c>
      <c r="X44" s="460" t="str">
        <v>-</v>
      </c>
      <c r="Y44" s="461" t="str">
        <v>-</v>
      </c>
      <c r="Z44" s="426">
        <v>44598</v>
      </c>
      <c r="AA44" s="435" t="str">
        <v>-</v>
      </c>
      <c r="AB44" s="435" t="str">
        <v>LC-130/SPoT</v>
      </c>
      <c r="AC44" s="435">
        <v>44910</v>
      </c>
      <c r="AD44" s="462" t="str">
        <v>Yes*</v>
      </c>
      <c r="AE44" s="462" t="str">
        <v>FY22 inter</v>
      </c>
      <c r="AF44" s="463" t="str">
        <v>FY23 intra</v>
      </c>
      <c r="AG44" s="464" t="str">
        <v>D. Gibson</v>
      </c>
      <c r="AH44" s="464">
        <v>44477</v>
      </c>
      <c r="AI44" s="464" t="str">
        <v>I. McEwen</v>
      </c>
      <c r="AJ44" s="435">
        <v>44477</v>
      </c>
      <c r="AK44" s="462" t="str">
        <v>*If this shipment is delayed 480 volt power generation support will be required in FW YR 1 by the contractor. Aside from the CRREL generator (far larger than required with high fuel burn rate) the capacity does not currently exist at the Pole.</v>
      </c>
      <c r="AL44" s="451">
        <v>0</v>
      </c>
    </row>
    <row r="45" spans="1:38" ht="33.950000000000003">
      <c r="A45" s="470">
        <v>1.2</v>
      </c>
      <c r="B45" s="453" t="str">
        <v>Drill</v>
      </c>
      <c r="C45" s="454" t="str">
        <v>Return Water Cable Reel (RWCR)</v>
      </c>
      <c r="D45" s="471" t="str">
        <v>Smaller reel - can fit in 20' container. Required onsite in FY23 for final integration and pre-drill activites</v>
      </c>
      <c r="E45" s="441">
        <v>112</v>
      </c>
      <c r="F45" s="441">
        <v>80</v>
      </c>
      <c r="G45" s="441">
        <v>80</v>
      </c>
      <c r="H45" s="441">
        <v>1</v>
      </c>
      <c r="I45" s="442">
        <v>414.81481481481484</v>
      </c>
      <c r="J45" s="442">
        <v>4000</v>
      </c>
      <c r="K45" s="441">
        <v>4000</v>
      </c>
      <c r="L45" s="455" t="str">
        <v>actual</v>
      </c>
      <c r="M45" s="462">
        <v>0</v>
      </c>
      <c r="N45" s="462" t="str">
        <v xml:space="preserve"> U. Wisc. Madison</v>
      </c>
      <c r="O45" s="473" t="str">
        <v>in transit</v>
      </c>
      <c r="P45" s="429">
        <v>44495</v>
      </c>
      <c r="Q45" s="113" t="str">
        <v>UWM - PTH</v>
      </c>
      <c r="R45" s="429">
        <v>44515</v>
      </c>
      <c r="S45" s="457" t="str">
        <v xml:space="preserve"> Truck</v>
      </c>
      <c r="T45" s="458" t="str">
        <v>PTH - MCM</v>
      </c>
      <c r="U45" s="458" t="str">
        <v>-</v>
      </c>
      <c r="V45" s="459" t="str">
        <v>USAP Vessel</v>
      </c>
      <c r="W45" s="460" t="str">
        <v>USAP Vessel</v>
      </c>
      <c r="X45" s="460" t="str">
        <v>-</v>
      </c>
      <c r="Y45" s="461" t="str">
        <v>-</v>
      </c>
      <c r="Z45" s="426">
        <v>44598</v>
      </c>
      <c r="AA45" s="435" t="str">
        <v>-</v>
      </c>
      <c r="AB45" s="435" t="str">
        <v>LC-130/SPoT</v>
      </c>
      <c r="AC45" s="435">
        <v>44927</v>
      </c>
      <c r="AD45" s="462" t="str">
        <v>Yes</v>
      </c>
      <c r="AE45" s="462" t="str">
        <v>FY22 inter</v>
      </c>
      <c r="AF45" s="463" t="str">
        <v>FY23 intra</v>
      </c>
      <c r="AG45" s="464" t="str">
        <v>D. Gibson</v>
      </c>
      <c r="AH45" s="464">
        <v>44477</v>
      </c>
      <c r="AI45" s="464" t="str">
        <v>I. McEwen</v>
      </c>
      <c r="AJ45" s="435">
        <v>44477</v>
      </c>
      <c r="AK45" s="462" t="str">
        <v>Weight from Gen 1 shipment information see picture.</v>
      </c>
      <c r="AL45" s="451">
        <v>0</v>
      </c>
    </row>
    <row r="46" spans="1:38" ht="51">
      <c r="A46" s="470">
        <v>1.2</v>
      </c>
      <c r="B46" s="453" t="str">
        <v>Drill</v>
      </c>
      <c r="C46" s="454" t="str">
        <v>Main Cable Reel  (MCR)</v>
      </c>
      <c r="D46" s="471" t="str">
        <v xml:space="preserve">Required onsite in FY23 for final integration and pre-drill activites. Large cable reel - will require flat rack on vessel             </v>
      </c>
      <c r="E46" s="441">
        <v>140</v>
      </c>
      <c r="F46" s="441">
        <v>96</v>
      </c>
      <c r="G46" s="441">
        <v>95</v>
      </c>
      <c r="H46" s="441">
        <v>1</v>
      </c>
      <c r="I46" s="442">
        <v>738.88888888888891</v>
      </c>
      <c r="J46" s="442">
        <v>12500</v>
      </c>
      <c r="K46" s="441">
        <v>12500</v>
      </c>
      <c r="L46" s="455" t="str">
        <v>actual</v>
      </c>
      <c r="M46" s="462">
        <v>0</v>
      </c>
      <c r="N46" s="462" t="str">
        <v xml:space="preserve"> U. Wisc. Madison</v>
      </c>
      <c r="O46" s="473">
        <v>7</v>
      </c>
      <c r="P46" s="429">
        <v>44508</v>
      </c>
      <c r="Q46" s="113" t="str">
        <v>UWM - PTH</v>
      </c>
      <c r="R46" s="429">
        <v>44515</v>
      </c>
      <c r="S46" s="457" t="str">
        <v xml:space="preserve"> Truck</v>
      </c>
      <c r="T46" s="458" t="str">
        <v>PTH - MCM</v>
      </c>
      <c r="U46" s="458" t="str">
        <v>-</v>
      </c>
      <c r="V46" s="459" t="str">
        <v>USAP Vessel</v>
      </c>
      <c r="W46" s="460" t="str">
        <v>USAP Vessel</v>
      </c>
      <c r="X46" s="460" t="str">
        <v>-</v>
      </c>
      <c r="Y46" s="461" t="str">
        <v>-</v>
      </c>
      <c r="Z46" s="426">
        <v>44598</v>
      </c>
      <c r="AA46" s="435" t="str">
        <v>-</v>
      </c>
      <c r="AB46" s="435" t="str">
        <v>LC-130/SPoT</v>
      </c>
      <c r="AC46" s="435">
        <v>44927</v>
      </c>
      <c r="AD46" s="462" t="str">
        <v>Yes</v>
      </c>
      <c r="AE46" s="462" t="str">
        <v>FY22 inter</v>
      </c>
      <c r="AF46" s="463" t="str">
        <v>FY23 intra</v>
      </c>
      <c r="AG46" s="464" t="str">
        <v>D. Gibson</v>
      </c>
      <c r="AH46" s="464">
        <v>44477</v>
      </c>
      <c r="AI46" s="464" t="str">
        <v>I. McEwen</v>
      </c>
      <c r="AJ46" s="435">
        <v>44477</v>
      </c>
      <c r="AK46" s="462" t="str">
        <v xml:space="preserve">Required onsite in FS Y1 for final integration and pre-drill activities. Shrink wrap contractor rescheduled for later date. </v>
      </c>
      <c r="AL46" s="451">
        <v>0</v>
      </c>
    </row>
    <row r="47" spans="1:38" ht="51">
      <c r="A47" s="478">
        <v>1.2</v>
      </c>
      <c r="B47" s="479" t="str">
        <v>Drill</v>
      </c>
      <c r="C47" s="480" t="str">
        <v>Controls infrastructure - Motor drives, PLCs, electrical hardware, and motor drive mounting kits</v>
      </c>
      <c r="D47" s="481" t="str">
        <v>Components and equipment to support field season 1 controls system tasking - ComSur - Do Not Freeze</v>
      </c>
      <c r="E47" s="482">
        <v>96</v>
      </c>
      <c r="F47" s="482">
        <v>48</v>
      </c>
      <c r="G47" s="482">
        <v>48</v>
      </c>
      <c r="H47" s="445">
        <v>1</v>
      </c>
      <c r="I47" s="442">
        <v>128</v>
      </c>
      <c r="J47" s="442">
        <v>3000</v>
      </c>
      <c r="K47" s="441">
        <v>3000</v>
      </c>
      <c r="L47" s="483" t="str">
        <v>estimated</v>
      </c>
      <c r="M47" s="484" t="str">
        <v>DNF</v>
      </c>
      <c r="N47" s="462" t="str">
        <v xml:space="preserve"> U. Wisc. Madison</v>
      </c>
      <c r="O47" s="473">
        <v>381</v>
      </c>
      <c r="P47" s="429">
        <v>44301</v>
      </c>
      <c r="Q47" s="429" t="str">
        <v>UWM - PTH</v>
      </c>
      <c r="R47" s="429">
        <v>44682</v>
      </c>
      <c r="S47" s="457" t="str">
        <v>Truck</v>
      </c>
      <c r="T47" s="458" t="str">
        <v>PTH - CHC</v>
      </c>
      <c r="U47" s="458" t="str">
        <v>-</v>
      </c>
      <c r="V47" s="459" t="str">
        <v>ComSur</v>
      </c>
      <c r="W47" s="460" t="str">
        <v>CHC-MCM</v>
      </c>
      <c r="X47" s="460" t="str">
        <v>-</v>
      </c>
      <c r="Y47" s="435" t="str">
        <v>USAP Air</v>
      </c>
      <c r="Z47" s="426">
        <v>44866</v>
      </c>
      <c r="AA47" s="435" t="str">
        <v>-</v>
      </c>
      <c r="AB47" s="435" t="str">
        <v>LC-130</v>
      </c>
      <c r="AC47" s="435">
        <v>44896</v>
      </c>
      <c r="AD47" s="462" t="str">
        <v>Yes</v>
      </c>
      <c r="AE47" s="462" t="str">
        <v>FY23 inter</v>
      </c>
      <c r="AF47" s="462" t="str">
        <v>FY23 intra</v>
      </c>
      <c r="AG47" s="435" t="str">
        <v>D. Gibson</v>
      </c>
      <c r="AH47" s="435">
        <v>44477</v>
      </c>
      <c r="AI47" s="435" t="str">
        <v>I. McEwen</v>
      </c>
      <c r="AJ47" s="435">
        <v>44477</v>
      </c>
      <c r="AK47" s="462" t="str">
        <v>Weight estimated</v>
      </c>
      <c r="AL47" s="451">
        <v>0</v>
      </c>
    </row>
    <row r="48" spans="1:38" ht="51">
      <c r="A48" s="478">
        <v>1.2</v>
      </c>
      <c r="B48" s="479" t="str">
        <v>Drill</v>
      </c>
      <c r="C48" s="480" t="str">
        <v>ARA Drill System Components - Crate 1</v>
      </c>
      <c r="D48" s="465" t="str">
        <v>ARA (Antarctic Rodwell Appartus) - downhole pump controller, ePump controller, splash cam kit, and accessories - Do Not Freeze</v>
      </c>
      <c r="E48" s="482">
        <v>96</v>
      </c>
      <c r="F48" s="482">
        <v>48</v>
      </c>
      <c r="G48" s="482">
        <v>48</v>
      </c>
      <c r="H48" s="445">
        <v>1</v>
      </c>
      <c r="I48" s="442">
        <v>128</v>
      </c>
      <c r="J48" s="442">
        <v>1200</v>
      </c>
      <c r="K48" s="441">
        <v>1200</v>
      </c>
      <c r="L48" s="483" t="str">
        <v>estimated</v>
      </c>
      <c r="M48" s="484" t="str">
        <v>DNF</v>
      </c>
      <c r="N48" s="462" t="str">
        <v xml:space="preserve"> U. Wisc. Madison</v>
      </c>
      <c r="O48" s="473">
        <v>381</v>
      </c>
      <c r="P48" s="429">
        <v>44301</v>
      </c>
      <c r="Q48" s="429" t="str">
        <v>UWM - PTH</v>
      </c>
      <c r="R48" s="429">
        <v>44682</v>
      </c>
      <c r="S48" s="457" t="str">
        <v xml:space="preserve"> Truck</v>
      </c>
      <c r="T48" s="458" t="str">
        <v>PTH - CHC</v>
      </c>
      <c r="U48" s="458" t="str">
        <v>-</v>
      </c>
      <c r="V48" s="459" t="str">
        <v>ComSur</v>
      </c>
      <c r="W48" s="460" t="str">
        <v>CHC-MCM</v>
      </c>
      <c r="X48" s="460" t="str">
        <v>-</v>
      </c>
      <c r="Y48" s="435" t="str">
        <v>USAP Air</v>
      </c>
      <c r="Z48" s="426">
        <v>44866</v>
      </c>
      <c r="AA48" s="435" t="str">
        <v>-</v>
      </c>
      <c r="AB48" s="435" t="str">
        <v xml:space="preserve">LC-130 </v>
      </c>
      <c r="AC48" s="435">
        <v>44896</v>
      </c>
      <c r="AD48" s="462" t="str">
        <v>Yes</v>
      </c>
      <c r="AE48" s="462" t="str">
        <v>FY23 inter</v>
      </c>
      <c r="AF48" s="462" t="str">
        <v>FY23 intra</v>
      </c>
      <c r="AG48" s="435" t="str">
        <v>D. Gibson</v>
      </c>
      <c r="AH48" s="435">
        <v>44477</v>
      </c>
      <c r="AI48" s="435" t="str">
        <v>I. McEwen</v>
      </c>
      <c r="AJ48" s="435">
        <v>44477</v>
      </c>
      <c r="AK48" s="462">
        <v>0</v>
      </c>
      <c r="AL48" s="451">
        <v>0</v>
      </c>
    </row>
    <row r="49" spans="1:38" ht="33.950000000000003">
      <c r="A49" s="470">
        <v>1.2</v>
      </c>
      <c r="B49" s="453" t="str">
        <v>Drill</v>
      </c>
      <c r="C49" s="471" t="str">
        <v>ARA Drill System Components - Crate 2</v>
      </c>
      <c r="D49" s="471" t="str">
        <v>ARA (Antarctic Rodwell Appartus) - new downhole pumps, spares, accessories and tools</v>
      </c>
      <c r="E49" s="441">
        <v>96</v>
      </c>
      <c r="F49" s="441">
        <v>48</v>
      </c>
      <c r="G49" s="441">
        <v>48</v>
      </c>
      <c r="H49" s="441">
        <v>1</v>
      </c>
      <c r="I49" s="442">
        <v>128</v>
      </c>
      <c r="J49" s="442">
        <v>1200</v>
      </c>
      <c r="K49" s="441">
        <v>1200</v>
      </c>
      <c r="L49" s="462" t="str">
        <v>estimated</v>
      </c>
      <c r="M49" s="462">
        <v>0</v>
      </c>
      <c r="N49" s="462" t="str">
        <v xml:space="preserve"> U. Wisc. Madison</v>
      </c>
      <c r="O49" s="473">
        <v>381</v>
      </c>
      <c r="P49" s="429">
        <v>44301</v>
      </c>
      <c r="Q49" s="429" t="str">
        <v>UWM - PTH</v>
      </c>
      <c r="R49" s="429">
        <v>44682</v>
      </c>
      <c r="S49" s="457" t="str">
        <v xml:space="preserve"> Truck</v>
      </c>
      <c r="T49" s="458" t="str">
        <v>PTH - CHC</v>
      </c>
      <c r="U49" s="458" t="str">
        <v>-</v>
      </c>
      <c r="V49" s="459" t="str">
        <v>ComSur</v>
      </c>
      <c r="W49" s="460" t="str">
        <v>CHC-MCM</v>
      </c>
      <c r="X49" s="460" t="str">
        <v>-</v>
      </c>
      <c r="Y49" s="461" t="str">
        <v>USAP Air</v>
      </c>
      <c r="Z49" s="426">
        <v>44866</v>
      </c>
      <c r="AA49" s="435" t="str">
        <v>-</v>
      </c>
      <c r="AB49" s="435" t="str">
        <v>LC-130/SPoT</v>
      </c>
      <c r="AC49" s="435">
        <v>44896</v>
      </c>
      <c r="AD49" s="462" t="str">
        <v>Yes</v>
      </c>
      <c r="AE49" s="462" t="str">
        <v>FY23 inter</v>
      </c>
      <c r="AF49" s="462" t="str">
        <v>FY23 intra</v>
      </c>
      <c r="AG49" s="435" t="str">
        <v>D. Gibson</v>
      </c>
      <c r="AH49" s="435">
        <v>44477</v>
      </c>
      <c r="AI49" s="435" t="str">
        <v>I. McEwen</v>
      </c>
      <c r="AJ49" s="435">
        <v>44477</v>
      </c>
      <c r="AK49" s="462">
        <v>0</v>
      </c>
      <c r="AL49" s="451">
        <v>0</v>
      </c>
    </row>
    <row r="50" spans="1:38" ht="33.950000000000003">
      <c r="A50" s="477">
        <v>1.2</v>
      </c>
      <c r="B50" s="475" t="str">
        <v>Drill</v>
      </c>
      <c r="C50" s="472" t="str">
        <v>Drill Heads DNF - X</v>
      </c>
      <c r="D50" s="472" t="str">
        <v>Drill Heads for winterover storage - ICL  - Do Not Freeze</v>
      </c>
      <c r="E50" s="441">
        <v>192</v>
      </c>
      <c r="F50" s="441">
        <v>24</v>
      </c>
      <c r="G50" s="441">
        <v>24</v>
      </c>
      <c r="H50" s="445">
        <v>1</v>
      </c>
      <c r="I50" s="442">
        <v>64</v>
      </c>
      <c r="J50" s="442">
        <v>1060</v>
      </c>
      <c r="K50" s="441">
        <v>1060</v>
      </c>
      <c r="L50" s="485" t="str">
        <v>actual</v>
      </c>
      <c r="M50" s="463" t="str">
        <v>DNF</v>
      </c>
      <c r="N50" s="462" t="str">
        <v xml:space="preserve"> U. Wisc. Madison</v>
      </c>
      <c r="O50" s="473">
        <v>440</v>
      </c>
      <c r="P50" s="429">
        <v>44440</v>
      </c>
      <c r="Q50" s="429" t="str">
        <v>UWM - PTH</v>
      </c>
      <c r="R50" s="429">
        <v>44880</v>
      </c>
      <c r="S50" s="457" t="str">
        <v>Truck</v>
      </c>
      <c r="T50" s="458" t="str">
        <v>PTH - MCM</v>
      </c>
      <c r="U50" s="458" t="str">
        <v>-</v>
      </c>
      <c r="V50" s="459" t="str">
        <v>USAP Vessel</v>
      </c>
      <c r="W50" s="460" t="str">
        <v>USAP Vessel</v>
      </c>
      <c r="X50" s="460" t="str">
        <v>-</v>
      </c>
      <c r="Y50" s="435" t="str">
        <v>-</v>
      </c>
      <c r="Z50" s="426">
        <v>44963</v>
      </c>
      <c r="AA50" s="435" t="str">
        <v>-</v>
      </c>
      <c r="AB50" s="435" t="str">
        <v>LC-130</v>
      </c>
      <c r="AC50" s="435">
        <v>44969</v>
      </c>
      <c r="AD50" s="462" t="str">
        <v>Yes</v>
      </c>
      <c r="AE50" s="462" t="str">
        <v>FY23 inter</v>
      </c>
      <c r="AF50" s="462" t="str">
        <v>FY23 intra</v>
      </c>
      <c r="AG50" s="435" t="str">
        <v>D. Gibson</v>
      </c>
      <c r="AH50" s="435">
        <v>44477</v>
      </c>
      <c r="AI50" s="435" t="str">
        <v>I. McEwen</v>
      </c>
      <c r="AJ50" s="435">
        <v>44477</v>
      </c>
      <c r="AK50" s="462" t="str">
        <v>One drill head shipped one year early for ull system wet-test</v>
      </c>
      <c r="AL50" s="451">
        <v>0</v>
      </c>
    </row>
    <row r="51" spans="1:38" ht="17.100000000000001">
      <c r="A51" s="477">
        <v>1.2</v>
      </c>
      <c r="B51" s="475" t="str">
        <v>Fuel</v>
      </c>
      <c r="C51" s="472" t="str">
        <v>Field Season 1 Fuel</v>
      </c>
      <c r="D51" s="472" t="str">
        <v>Fuel to support FY23 field season - Base fuel</v>
      </c>
      <c r="E51" s="441">
        <v>0</v>
      </c>
      <c r="F51" s="441">
        <v>0</v>
      </c>
      <c r="G51" s="441">
        <v>0</v>
      </c>
      <c r="H51" s="445">
        <v>3191</v>
      </c>
      <c r="I51" s="442">
        <v>426.57462315454006</v>
      </c>
      <c r="J51" s="442">
        <v>6.8</v>
      </c>
      <c r="K51" s="441">
        <v>21698.799999999999</v>
      </c>
      <c r="L51" s="485" t="str">
        <v>preliminary</v>
      </c>
      <c r="M51" s="463">
        <v>0</v>
      </c>
      <c r="N51" s="462">
        <v>0</v>
      </c>
      <c r="O51" s="473">
        <v>0</v>
      </c>
      <c r="P51" s="429" t="str">
        <v>-</v>
      </c>
      <c r="Q51" s="429" t="str">
        <v>-</v>
      </c>
      <c r="R51" s="429" t="str">
        <v>-</v>
      </c>
      <c r="S51" s="457" t="str">
        <v>-</v>
      </c>
      <c r="T51" s="458" t="str">
        <v>-</v>
      </c>
      <c r="U51" s="458" t="str">
        <v>-</v>
      </c>
      <c r="V51" s="459" t="str">
        <v>-</v>
      </c>
      <c r="W51" s="460" t="str">
        <v>-</v>
      </c>
      <c r="X51" s="460" t="str">
        <v>-</v>
      </c>
      <c r="Y51" s="435" t="str">
        <v>-</v>
      </c>
      <c r="Z51" s="426">
        <v>44866</v>
      </c>
      <c r="AA51" s="435" t="str">
        <v>-</v>
      </c>
      <c r="AB51" s="435" t="str">
        <v>LC-130/SPoT</v>
      </c>
      <c r="AC51" s="435">
        <v>44896</v>
      </c>
      <c r="AD51" s="462" t="str">
        <v>Yes</v>
      </c>
      <c r="AE51" s="462" t="str">
        <v>FY23 inter</v>
      </c>
      <c r="AF51" s="462" t="str">
        <v>FY23 intra</v>
      </c>
      <c r="AG51" s="435" t="str">
        <v>T. Benson</v>
      </c>
      <c r="AH51" s="435">
        <v>44483</v>
      </c>
      <c r="AI51" s="435" t="str">
        <v>I. McEwen</v>
      </c>
      <c r="AJ51" s="435">
        <v>44483</v>
      </c>
      <c r="AK51" s="462">
        <v>0</v>
      </c>
      <c r="AL51" s="451">
        <v>0</v>
      </c>
    </row>
    <row r="52" spans="1:38" ht="17.100000000000001">
      <c r="A52" s="477">
        <v>1.2</v>
      </c>
      <c r="B52" s="475">
        <v>0</v>
      </c>
      <c r="C52" s="472" t="str">
        <v>Field Season 1 Fuel Contingency</v>
      </c>
      <c r="D52" s="472" t="str">
        <v>Fuel to support FY23 field season - Contingency</v>
      </c>
      <c r="E52" s="445">
        <v>0</v>
      </c>
      <c r="F52" s="445">
        <v>0</v>
      </c>
      <c r="G52" s="445">
        <v>0</v>
      </c>
      <c r="H52" s="445">
        <v>452</v>
      </c>
      <c r="I52" s="442">
        <v>60.423606915027293</v>
      </c>
      <c r="J52" s="442">
        <v>6.8</v>
      </c>
      <c r="K52" s="441">
        <v>3073.6</v>
      </c>
      <c r="L52" s="485" t="str">
        <v>preliminary</v>
      </c>
      <c r="M52" s="463">
        <v>0</v>
      </c>
      <c r="N52" s="462">
        <v>0</v>
      </c>
      <c r="O52" s="473">
        <v>0</v>
      </c>
      <c r="P52" s="429" t="str">
        <v>-</v>
      </c>
      <c r="Q52" s="429" t="str">
        <v>-</v>
      </c>
      <c r="R52" s="429" t="str">
        <v>-</v>
      </c>
      <c r="S52" s="457" t="str">
        <v>-</v>
      </c>
      <c r="T52" s="458" t="str">
        <v>-</v>
      </c>
      <c r="U52" s="458" t="str">
        <v>-</v>
      </c>
      <c r="V52" s="459" t="str">
        <v>-</v>
      </c>
      <c r="W52" s="460" t="str">
        <v>-</v>
      </c>
      <c r="X52" s="460" t="str">
        <v>-</v>
      </c>
      <c r="Y52" s="426" t="str">
        <v>-</v>
      </c>
      <c r="Z52" s="426">
        <v>44866</v>
      </c>
      <c r="AA52" s="435" t="str">
        <v>-</v>
      </c>
      <c r="AB52" s="435" t="str">
        <v>LC-130/SPoT</v>
      </c>
      <c r="AC52" s="435">
        <v>44896</v>
      </c>
      <c r="AD52" s="462" t="str">
        <v>Yes</v>
      </c>
      <c r="AE52" s="462" t="str">
        <v>FY23 inter</v>
      </c>
      <c r="AF52" s="463" t="str">
        <v>FY23 intra</v>
      </c>
      <c r="AG52" s="435" t="str">
        <v>T. Benson</v>
      </c>
      <c r="AH52" s="464">
        <v>44483</v>
      </c>
      <c r="AI52" s="464" t="str">
        <v>I. McEwen</v>
      </c>
      <c r="AJ52" s="435">
        <v>44483</v>
      </c>
      <c r="AK52" s="463">
        <v>0</v>
      </c>
      <c r="AL52" s="451">
        <v>0</v>
      </c>
    </row>
    <row r="53" spans="1:38">
      <c r="A53" s="466"/>
      <c r="B53" s="451"/>
      <c r="C53" s="451"/>
      <c r="D53" s="451"/>
      <c r="E53" s="467"/>
      <c r="F53" s="467"/>
      <c r="G53" s="467"/>
      <c r="H53" s="467"/>
      <c r="I53" s="136">
        <f>SUBTOTAL(9,I36:I52)</f>
        <v>11173.701933773271</v>
      </c>
      <c r="J53" s="136"/>
      <c r="K53" s="136">
        <f t="shared" ref="K53" si="2">SUBTOTAL(9,K36:K52)</f>
        <v>150540.4</v>
      </c>
      <c r="L53" s="451"/>
      <c r="M53" s="451"/>
      <c r="N53" s="451"/>
      <c r="O53" s="468"/>
      <c r="P53" s="469"/>
      <c r="Q53" s="469"/>
      <c r="R53" s="469"/>
      <c r="S53" s="451"/>
      <c r="T53" s="469"/>
      <c r="U53" s="469"/>
      <c r="V53" s="451"/>
      <c r="W53" s="469"/>
      <c r="X53" s="469"/>
      <c r="Y53" s="469"/>
      <c r="Z53" s="469"/>
      <c r="AA53" s="469"/>
      <c r="AB53" s="469"/>
      <c r="AC53" s="469"/>
      <c r="AD53" s="451"/>
      <c r="AE53" s="451"/>
      <c r="AF53" s="451"/>
      <c r="AG53" s="469"/>
      <c r="AH53" s="469"/>
      <c r="AI53" s="469"/>
      <c r="AJ53" s="469"/>
      <c r="AK53" s="451"/>
      <c r="AL53" s="451"/>
    </row>
    <row r="57" spans="1:38" ht="18.95">
      <c r="A57" s="252" t="s">
        <v>430</v>
      </c>
      <c r="B57" s="221" t="s">
        <v>347</v>
      </c>
      <c r="C57" s="222"/>
      <c r="D57" s="222"/>
      <c r="E57" s="224"/>
      <c r="F57" s="224"/>
      <c r="G57" s="224"/>
      <c r="H57" s="224"/>
      <c r="I57" s="224"/>
      <c r="J57" s="224"/>
      <c r="K57" s="224"/>
      <c r="L57" s="222"/>
      <c r="M57" s="222"/>
      <c r="N57" s="222"/>
      <c r="O57" s="396"/>
      <c r="P57" s="226"/>
      <c r="Q57" s="226"/>
      <c r="R57" s="226"/>
      <c r="S57" s="222"/>
      <c r="T57" s="226"/>
      <c r="U57" s="226"/>
      <c r="V57" s="222"/>
      <c r="W57" s="226"/>
      <c r="X57" s="226"/>
      <c r="Y57" s="226"/>
      <c r="Z57" s="226"/>
      <c r="AA57" s="226"/>
      <c r="AB57" s="226"/>
      <c r="AC57" s="226"/>
      <c r="AD57" s="222"/>
      <c r="AE57" s="222"/>
      <c r="AF57" s="222"/>
      <c r="AG57" s="226"/>
      <c r="AH57" s="222"/>
      <c r="AI57" s="222"/>
      <c r="AJ57" s="222"/>
      <c r="AK57" s="226"/>
      <c r="AL57" s="451"/>
    </row>
    <row r="58" spans="1:38" ht="33.950000000000003">
      <c r="A58" s="477" cm="1">
        <f t="array" ref="A58:AL86">_xlfn._xlws.FILTER(cargo_table, inter_shipping_label=B57)</f>
        <v>1.4</v>
      </c>
      <c r="B58" s="475" t="str">
        <v>Installation</v>
      </c>
      <c r="C58" s="472" t="str">
        <v>ICL power and timing electronics</v>
      </c>
      <c r="D58" s="472" t="str">
        <v>1 crate containing rackmount electronics for power and timing systems - Do Not Freeze</v>
      </c>
      <c r="E58" s="441">
        <v>96</v>
      </c>
      <c r="F58" s="441">
        <v>48</v>
      </c>
      <c r="G58" s="441">
        <v>48</v>
      </c>
      <c r="H58" s="445">
        <v>1</v>
      </c>
      <c r="I58" s="442">
        <v>128</v>
      </c>
      <c r="J58" s="442">
        <v>600</v>
      </c>
      <c r="K58" s="441">
        <v>600</v>
      </c>
      <c r="L58" s="485" t="str">
        <v>estimated</v>
      </c>
      <c r="M58" s="463" t="str">
        <v>DNF</v>
      </c>
      <c r="N58" s="462" t="str">
        <v xml:space="preserve"> U. Wisc. Madison</v>
      </c>
      <c r="O58" s="473">
        <v>31</v>
      </c>
      <c r="P58" s="429">
        <v>45108</v>
      </c>
      <c r="Q58" s="429" t="str">
        <v>UWM - PTH</v>
      </c>
      <c r="R58" s="429">
        <v>45139</v>
      </c>
      <c r="S58" s="457" t="str">
        <v>Truck</v>
      </c>
      <c r="T58" s="458" t="str">
        <v>PTH - CHC</v>
      </c>
      <c r="U58" s="458" t="str">
        <v>-</v>
      </c>
      <c r="V58" s="459" t="str">
        <v>ComSur</v>
      </c>
      <c r="W58" s="460" t="str">
        <v>CHC-MCM</v>
      </c>
      <c r="X58" s="460" t="str">
        <v>-</v>
      </c>
      <c r="Y58" s="435" t="str">
        <v>USAP Air</v>
      </c>
      <c r="Z58" s="426">
        <v>45231</v>
      </c>
      <c r="AA58" s="435" t="str">
        <v>-</v>
      </c>
      <c r="AB58" s="435" t="str">
        <v>LC-130</v>
      </c>
      <c r="AC58" s="435">
        <v>45261</v>
      </c>
      <c r="AD58" s="462" t="str">
        <v>Yes</v>
      </c>
      <c r="AE58" s="462" t="str">
        <v>FY24 inter</v>
      </c>
      <c r="AF58" s="462" t="str">
        <v>FY24 intra</v>
      </c>
      <c r="AG58" s="435" t="str">
        <v>J. Kelley</v>
      </c>
      <c r="AH58" s="435">
        <v>44481</v>
      </c>
      <c r="AI58" s="435" t="str">
        <v>D. Tosi</v>
      </c>
      <c r="AJ58" s="435">
        <v>44481</v>
      </c>
      <c r="AK58" s="462">
        <v>0</v>
      </c>
      <c r="AL58" s="451">
        <v>0</v>
      </c>
    </row>
    <row r="59" spans="1:38" ht="33.950000000000003">
      <c r="A59" s="477">
        <v>1.4</v>
      </c>
      <c r="B59" s="475" t="str">
        <v>Installation</v>
      </c>
      <c r="C59" s="472" t="str">
        <v>ICL patch cables and patch panels</v>
      </c>
      <c r="D59" s="472" t="str">
        <v>Standard vessel shipping - can overwinter in McM if shipped earlier - Do Not  Deep Freeze</v>
      </c>
      <c r="E59" s="445">
        <v>96</v>
      </c>
      <c r="F59" s="445">
        <v>48</v>
      </c>
      <c r="G59" s="445">
        <v>48</v>
      </c>
      <c r="H59" s="445">
        <v>1</v>
      </c>
      <c r="I59" s="442">
        <v>128</v>
      </c>
      <c r="J59" s="442">
        <v>1200</v>
      </c>
      <c r="K59" s="441">
        <v>1200</v>
      </c>
      <c r="L59" s="485" t="str">
        <v>estimated</v>
      </c>
      <c r="M59" s="463" t="str">
        <v>DNDF [TBD]</v>
      </c>
      <c r="N59" s="462" t="str">
        <v xml:space="preserve"> U. Wisc. Madison</v>
      </c>
      <c r="O59" s="473">
        <v>61</v>
      </c>
      <c r="P59" s="429">
        <v>45078</v>
      </c>
      <c r="Q59" s="429" t="str">
        <v>UWM - PTH</v>
      </c>
      <c r="R59" s="429">
        <v>45139</v>
      </c>
      <c r="S59" s="457" t="str">
        <v>Truck</v>
      </c>
      <c r="T59" s="458" t="str">
        <v>PTH - CHC</v>
      </c>
      <c r="U59" s="458" t="str">
        <v>-</v>
      </c>
      <c r="V59" s="459" t="str">
        <v>ComSur</v>
      </c>
      <c r="W59" s="460" t="str">
        <v>CHC-MCM</v>
      </c>
      <c r="X59" s="460" t="str">
        <v>-</v>
      </c>
      <c r="Y59" s="435" t="str">
        <v>USAP Air</v>
      </c>
      <c r="Z59" s="426">
        <v>45231</v>
      </c>
      <c r="AA59" s="435" t="str">
        <v>-</v>
      </c>
      <c r="AB59" s="435" t="str">
        <v>LC-130</v>
      </c>
      <c r="AC59" s="435">
        <v>45261</v>
      </c>
      <c r="AD59" s="462" t="str">
        <v>Yes</v>
      </c>
      <c r="AE59" s="462" t="str">
        <v>FY24 inter</v>
      </c>
      <c r="AF59" s="462" t="str">
        <v>FY24 intra</v>
      </c>
      <c r="AG59" s="435" t="str">
        <v>J. Kelley</v>
      </c>
      <c r="AH59" s="435">
        <v>44481</v>
      </c>
      <c r="AI59" s="435" t="str">
        <v>D. Tosi</v>
      </c>
      <c r="AJ59" s="435">
        <v>44481</v>
      </c>
      <c r="AK59" s="462" t="str">
        <v xml:space="preserve">(*) storage in McMurdo pending low temperature test </v>
      </c>
      <c r="AL59" s="451">
        <v>0</v>
      </c>
    </row>
    <row r="60" spans="1:38" ht="33.950000000000003">
      <c r="A60" s="477">
        <v>1.2</v>
      </c>
      <c r="B60" s="475" t="str">
        <v>Drill</v>
      </c>
      <c r="C60" s="486" t="str">
        <v xml:space="preserve">Spare Combo cable </v>
      </c>
      <c r="D60" s="472" t="str">
        <v>Spare cable for Return Water Cable Reel - on spool</v>
      </c>
      <c r="E60" s="445">
        <v>72</v>
      </c>
      <c r="F60" s="445">
        <v>72</v>
      </c>
      <c r="G60" s="445">
        <v>72</v>
      </c>
      <c r="H60" s="445">
        <v>1</v>
      </c>
      <c r="I60" s="442">
        <v>216</v>
      </c>
      <c r="J60" s="442">
        <v>3000</v>
      </c>
      <c r="K60" s="441">
        <v>3000</v>
      </c>
      <c r="L60" s="485" t="str">
        <v>actual</v>
      </c>
      <c r="M60" s="463">
        <v>0</v>
      </c>
      <c r="N60" s="462" t="str">
        <v xml:space="preserve"> U. Wisc. Madison</v>
      </c>
      <c r="O60" s="473">
        <v>31</v>
      </c>
      <c r="P60" s="429">
        <v>44849</v>
      </c>
      <c r="Q60" s="429" t="str">
        <v>UWM - PTH</v>
      </c>
      <c r="R60" s="429">
        <v>44880</v>
      </c>
      <c r="S60" s="457" t="str">
        <v>Truck</v>
      </c>
      <c r="T60" s="458" t="str">
        <v>PTH - MCM</v>
      </c>
      <c r="U60" s="458" t="str">
        <v>-</v>
      </c>
      <c r="V60" s="459" t="str">
        <v>USAP Vessel</v>
      </c>
      <c r="W60" s="460" t="str">
        <v>USAP Vessel</v>
      </c>
      <c r="X60" s="460" t="str">
        <v>-</v>
      </c>
      <c r="Y60" s="426" t="str">
        <v>-</v>
      </c>
      <c r="Z60" s="426">
        <v>45328</v>
      </c>
      <c r="AA60" s="435" t="str">
        <v>-</v>
      </c>
      <c r="AB60" s="435" t="str">
        <v>LC-130/SPoT</v>
      </c>
      <c r="AC60" s="435">
        <v>45334</v>
      </c>
      <c r="AD60" s="462" t="str">
        <v>No</v>
      </c>
      <c r="AE60" s="462" t="str">
        <v>FY24 inter</v>
      </c>
      <c r="AF60" s="462" t="str">
        <v>FY24 intra</v>
      </c>
      <c r="AG60" s="435" t="str">
        <v>D. Gibson</v>
      </c>
      <c r="AH60" s="435">
        <v>44477</v>
      </c>
      <c r="AI60" s="435" t="str">
        <v>I. McEwen</v>
      </c>
      <c r="AJ60" s="435">
        <v>44477</v>
      </c>
      <c r="AK60" s="462" t="str">
        <v>Spare required for drill season</v>
      </c>
      <c r="AL60" s="451">
        <v>0</v>
      </c>
    </row>
    <row r="61" spans="1:38" ht="33.950000000000003">
      <c r="A61" s="477">
        <v>1.2</v>
      </c>
      <c r="B61" s="475" t="str">
        <v>Drill</v>
      </c>
      <c r="C61" s="486" t="str">
        <v>Spare Drill Cable</v>
      </c>
      <c r="D61" s="472" t="str">
        <v>Standard vessel shipping - can overwinter in McM. Cable on steel spool.</v>
      </c>
      <c r="E61" s="445">
        <v>83</v>
      </c>
      <c r="F61" s="445">
        <v>83</v>
      </c>
      <c r="G61" s="445">
        <v>61</v>
      </c>
      <c r="H61" s="445">
        <v>1</v>
      </c>
      <c r="I61" s="442">
        <v>243.1880787037037</v>
      </c>
      <c r="J61" s="442">
        <v>6835</v>
      </c>
      <c r="K61" s="441">
        <v>6835</v>
      </c>
      <c r="L61" s="485" t="str">
        <v>actual</v>
      </c>
      <c r="M61" s="463">
        <v>0</v>
      </c>
      <c r="N61" s="462" t="str">
        <v xml:space="preserve"> U. Wisc. Madison</v>
      </c>
      <c r="O61" s="473">
        <v>31</v>
      </c>
      <c r="P61" s="429">
        <v>44849</v>
      </c>
      <c r="Q61" s="429" t="str">
        <v>UWM - PTH</v>
      </c>
      <c r="R61" s="429">
        <v>44880</v>
      </c>
      <c r="S61" s="457" t="str">
        <v>Truck</v>
      </c>
      <c r="T61" s="458" t="str">
        <v>PTH - MCM</v>
      </c>
      <c r="U61" s="458" t="str">
        <v>-</v>
      </c>
      <c r="V61" s="459" t="str">
        <v>USAP Vessel</v>
      </c>
      <c r="W61" s="460" t="str">
        <v>USAP Vessel</v>
      </c>
      <c r="X61" s="460" t="str">
        <v>-</v>
      </c>
      <c r="Y61" s="426" t="str">
        <v>-</v>
      </c>
      <c r="Z61" s="426">
        <v>45328</v>
      </c>
      <c r="AA61" s="435" t="str">
        <v>-</v>
      </c>
      <c r="AB61" s="435" t="str">
        <v>LC-130/SPoT</v>
      </c>
      <c r="AC61" s="435">
        <v>45334</v>
      </c>
      <c r="AD61" s="462" t="str">
        <v>No</v>
      </c>
      <c r="AE61" s="462" t="str">
        <v>FY24 inter</v>
      </c>
      <c r="AF61" s="462" t="str">
        <v>FY24 intra</v>
      </c>
      <c r="AG61" s="435" t="str">
        <v>D. Gibson</v>
      </c>
      <c r="AH61" s="435">
        <v>44477</v>
      </c>
      <c r="AI61" s="435" t="str">
        <v>I. McEwen</v>
      </c>
      <c r="AJ61" s="435">
        <v>44477</v>
      </c>
      <c r="AK61" s="462" t="str">
        <v>Spare required for drill season</v>
      </c>
      <c r="AL61" s="451">
        <v>0</v>
      </c>
    </row>
    <row r="62" spans="1:38" ht="33.950000000000003">
      <c r="A62" s="487">
        <v>1.2</v>
      </c>
      <c r="B62" s="488" t="str">
        <v>Drill</v>
      </c>
      <c r="C62" s="489" t="str">
        <v>Computing/controls components</v>
      </c>
      <c r="D62" s="489" t="str">
        <v>Computing and controls equipment (Motor drives and other sensitive electronics) - Do Not Freeze</v>
      </c>
      <c r="E62" s="447">
        <v>96</v>
      </c>
      <c r="F62" s="447">
        <v>48</v>
      </c>
      <c r="G62" s="447">
        <v>48</v>
      </c>
      <c r="H62" s="445">
        <v>1</v>
      </c>
      <c r="I62" s="442">
        <v>128</v>
      </c>
      <c r="J62" s="442">
        <v>3000</v>
      </c>
      <c r="K62" s="441">
        <v>3000</v>
      </c>
      <c r="L62" s="490" t="str">
        <v>estimated</v>
      </c>
      <c r="M62" s="491" t="str">
        <v>DNF</v>
      </c>
      <c r="N62" s="462" t="str">
        <v xml:space="preserve"> U. Wisc. Madison</v>
      </c>
      <c r="O62" s="473">
        <v>31</v>
      </c>
      <c r="P62" s="429">
        <v>45108</v>
      </c>
      <c r="Q62" s="429" t="str">
        <v>UWM - PTH</v>
      </c>
      <c r="R62" s="429">
        <v>45139</v>
      </c>
      <c r="S62" s="457" t="str">
        <v>Truck</v>
      </c>
      <c r="T62" s="458" t="str">
        <v>PTH - CHC</v>
      </c>
      <c r="U62" s="458" t="str">
        <v>-</v>
      </c>
      <c r="V62" s="459" t="str">
        <v>ComSur</v>
      </c>
      <c r="W62" s="460" t="str">
        <v>CHC-MCM</v>
      </c>
      <c r="X62" s="460" t="str">
        <v>-</v>
      </c>
      <c r="Y62" s="426" t="str">
        <v>USAP Air</v>
      </c>
      <c r="Z62" s="426">
        <v>45231</v>
      </c>
      <c r="AA62" s="435" t="str">
        <v>-</v>
      </c>
      <c r="AB62" s="435" t="str">
        <v>LC-130</v>
      </c>
      <c r="AC62" s="435">
        <v>45245</v>
      </c>
      <c r="AD62" s="462" t="str">
        <v>Yes</v>
      </c>
      <c r="AE62" s="462" t="str">
        <v>FY24 inter</v>
      </c>
      <c r="AF62" s="462" t="str">
        <v>FY24 intra</v>
      </c>
      <c r="AG62" s="435" t="str">
        <v>D. Gibson</v>
      </c>
      <c r="AH62" s="435">
        <v>44477</v>
      </c>
      <c r="AI62" s="435" t="str">
        <v>I. McEwen</v>
      </c>
      <c r="AJ62" s="435">
        <v>44477</v>
      </c>
      <c r="AK62" s="462" t="str">
        <v>Required onsite in FW YR 2 to support controls system tasking</v>
      </c>
      <c r="AL62" s="451">
        <v>0</v>
      </c>
    </row>
    <row r="63" spans="1:38" ht="33.950000000000003">
      <c r="A63" s="487">
        <v>1.2</v>
      </c>
      <c r="B63" s="488" t="str">
        <v>Drill</v>
      </c>
      <c r="C63" s="489" t="str">
        <v>Driller resupply/refit components -  8'  Container</v>
      </c>
      <c r="D63" s="489" t="str">
        <v>8' Mini Milvan; Consumables/drill components</v>
      </c>
      <c r="E63" s="447">
        <v>96</v>
      </c>
      <c r="F63" s="447">
        <v>86</v>
      </c>
      <c r="G63" s="447">
        <v>96</v>
      </c>
      <c r="H63" s="445">
        <v>1</v>
      </c>
      <c r="I63" s="442">
        <v>458.66666666666669</v>
      </c>
      <c r="J63" s="442">
        <v>6500</v>
      </c>
      <c r="K63" s="441">
        <v>6500</v>
      </c>
      <c r="L63" s="490" t="str">
        <v>estimated</v>
      </c>
      <c r="M63" s="491">
        <v>0</v>
      </c>
      <c r="N63" s="462" t="str">
        <v xml:space="preserve"> U. Wisc. Madison</v>
      </c>
      <c r="O63" s="473">
        <v>31</v>
      </c>
      <c r="P63" s="429">
        <v>45108</v>
      </c>
      <c r="Q63" s="429" t="str">
        <v>UWM - PTH</v>
      </c>
      <c r="R63" s="429">
        <v>45139</v>
      </c>
      <c r="S63" s="457" t="str">
        <v>Truck</v>
      </c>
      <c r="T63" s="458" t="str">
        <v>PTH - CHC</v>
      </c>
      <c r="U63" s="458" t="str">
        <v>-</v>
      </c>
      <c r="V63" s="459" t="str">
        <v>ComSur</v>
      </c>
      <c r="W63" s="460" t="str">
        <v>CHC-MCM</v>
      </c>
      <c r="X63" s="460" t="str">
        <v>-</v>
      </c>
      <c r="Y63" s="426" t="str">
        <v>USAP Air</v>
      </c>
      <c r="Z63" s="426">
        <v>45231</v>
      </c>
      <c r="AA63" s="435" t="str">
        <v>-</v>
      </c>
      <c r="AB63" s="435" t="str">
        <v>LC-130</v>
      </c>
      <c r="AC63" s="435">
        <v>45245</v>
      </c>
      <c r="AD63" s="462" t="str">
        <v>Yes</v>
      </c>
      <c r="AE63" s="462" t="str">
        <v>FY24 inter</v>
      </c>
      <c r="AF63" s="462" t="str">
        <v>FY24 intra</v>
      </c>
      <c r="AG63" s="435" t="str">
        <v>D. Gibson</v>
      </c>
      <c r="AH63" s="435">
        <v>44477</v>
      </c>
      <c r="AI63" s="435" t="str">
        <v>I. McEwen</v>
      </c>
      <c r="AJ63" s="435">
        <v>44477</v>
      </c>
      <c r="AK63" s="462" t="str">
        <v>Items identifed in prior field season - 8' container moves with contents overland or by air</v>
      </c>
      <c r="AL63" s="451">
        <v>0</v>
      </c>
    </row>
    <row r="64" spans="1:38" ht="33.950000000000003">
      <c r="A64" s="477">
        <v>1.2</v>
      </c>
      <c r="B64" s="475" t="str">
        <v>Drill</v>
      </c>
      <c r="C64" s="472" t="str">
        <v>Drill refit components</v>
      </c>
      <c r="D64" s="472" t="str">
        <v>Single crate. Consumables/drill refit components</v>
      </c>
      <c r="E64" s="445">
        <v>96</v>
      </c>
      <c r="F64" s="445">
        <v>48</v>
      </c>
      <c r="G64" s="445">
        <v>48</v>
      </c>
      <c r="H64" s="445">
        <v>1</v>
      </c>
      <c r="I64" s="442">
        <v>128</v>
      </c>
      <c r="J64" s="442">
        <v>3000</v>
      </c>
      <c r="K64" s="441">
        <v>3000</v>
      </c>
      <c r="L64" s="485" t="str">
        <v>estimated</v>
      </c>
      <c r="M64" s="463">
        <v>0</v>
      </c>
      <c r="N64" s="462" t="str">
        <v xml:space="preserve"> U. Wisc. Madison</v>
      </c>
      <c r="O64" s="473">
        <v>31</v>
      </c>
      <c r="P64" s="429">
        <v>45108</v>
      </c>
      <c r="Q64" s="429" t="str">
        <v>UWM - PTH</v>
      </c>
      <c r="R64" s="429">
        <v>45139</v>
      </c>
      <c r="S64" s="457" t="str">
        <v>Truck</v>
      </c>
      <c r="T64" s="458" t="str">
        <v>PTH - CHC</v>
      </c>
      <c r="U64" s="458" t="str">
        <v>-</v>
      </c>
      <c r="V64" s="459" t="str">
        <v>Comsur</v>
      </c>
      <c r="W64" s="460" t="str">
        <v>CHC-MCM</v>
      </c>
      <c r="X64" s="460" t="str">
        <v>-</v>
      </c>
      <c r="Y64" s="435" t="str">
        <v>USAP Air</v>
      </c>
      <c r="Z64" s="426">
        <v>45231</v>
      </c>
      <c r="AA64" s="435" t="str">
        <v>-</v>
      </c>
      <c r="AB64" s="435" t="str">
        <v>LC-130</v>
      </c>
      <c r="AC64" s="435">
        <v>45245</v>
      </c>
      <c r="AD64" s="462" t="str">
        <v>Yes</v>
      </c>
      <c r="AE64" s="462" t="str">
        <v>FY24 inter</v>
      </c>
      <c r="AF64" s="462" t="str">
        <v>FY24 intra</v>
      </c>
      <c r="AG64" s="435" t="str">
        <v>D. Gibson</v>
      </c>
      <c r="AH64" s="435">
        <v>44477</v>
      </c>
      <c r="AI64" s="435" t="str">
        <v>I. McEwen</v>
      </c>
      <c r="AJ64" s="435">
        <v>44477</v>
      </c>
      <c r="AK64" s="462" t="str">
        <v>Items identifed in prior field season</v>
      </c>
      <c r="AL64" s="451">
        <v>0</v>
      </c>
    </row>
    <row r="65" spans="1:38" ht="33.950000000000003">
      <c r="A65" s="477">
        <v>1.2</v>
      </c>
      <c r="B65" s="475" t="str">
        <v>Drill</v>
      </c>
      <c r="C65" s="472" t="str">
        <v>Drill Heads DNF - Y</v>
      </c>
      <c r="D65" s="472" t="str">
        <v>Drill Heads for winterover storage - ICL  - Do Not Freeze</v>
      </c>
      <c r="E65" s="445">
        <v>192</v>
      </c>
      <c r="F65" s="445">
        <v>24</v>
      </c>
      <c r="G65" s="445">
        <v>24</v>
      </c>
      <c r="H65" s="445">
        <v>1</v>
      </c>
      <c r="I65" s="442">
        <v>64</v>
      </c>
      <c r="J65" s="442">
        <v>1060</v>
      </c>
      <c r="K65" s="441">
        <v>1060</v>
      </c>
      <c r="L65" s="485" t="str">
        <v>actual</v>
      </c>
      <c r="M65" s="463" t="str">
        <v>DNF</v>
      </c>
      <c r="N65" s="462" t="str">
        <v xml:space="preserve"> U. Wisc. Madison</v>
      </c>
      <c r="O65" s="473">
        <v>805</v>
      </c>
      <c r="P65" s="429">
        <v>44440</v>
      </c>
      <c r="Q65" s="429" t="str">
        <v>UWM - PTH</v>
      </c>
      <c r="R65" s="429">
        <v>45245</v>
      </c>
      <c r="S65" s="457" t="str">
        <v>Truck</v>
      </c>
      <c r="T65" s="458" t="str">
        <v>PTH - MCM</v>
      </c>
      <c r="U65" s="458" t="str">
        <v>-</v>
      </c>
      <c r="V65" s="459" t="str">
        <v>USAP Vessel</v>
      </c>
      <c r="W65" s="460" t="str">
        <v>USAP Vessel</v>
      </c>
      <c r="X65" s="460" t="str">
        <v>-</v>
      </c>
      <c r="Y65" s="435" t="str">
        <v>-</v>
      </c>
      <c r="Z65" s="426">
        <v>45328</v>
      </c>
      <c r="AA65" s="435" t="str">
        <v>-</v>
      </c>
      <c r="AB65" s="435" t="str">
        <v>LC-130</v>
      </c>
      <c r="AC65" s="435">
        <v>45334</v>
      </c>
      <c r="AD65" s="462" t="str">
        <v>Yes</v>
      </c>
      <c r="AE65" s="462" t="str">
        <v>FY24 inter</v>
      </c>
      <c r="AF65" s="462" t="str">
        <v>FY24 intra</v>
      </c>
      <c r="AG65" s="435" t="str">
        <v>D. Gibson</v>
      </c>
      <c r="AH65" s="435">
        <v>44477</v>
      </c>
      <c r="AI65" s="435" t="str">
        <v>I. McEwen</v>
      </c>
      <c r="AJ65" s="435">
        <v>44477</v>
      </c>
      <c r="AK65" s="462">
        <v>0</v>
      </c>
      <c r="AL65" s="451">
        <v>0</v>
      </c>
    </row>
    <row r="66" spans="1:38" ht="33.950000000000003">
      <c r="A66" s="477">
        <v>1.2</v>
      </c>
      <c r="B66" s="475" t="str">
        <v>Drill</v>
      </c>
      <c r="C66" s="465" t="str">
        <v>Drill Heads DNF - R</v>
      </c>
      <c r="D66" s="465" t="str">
        <v xml:space="preserve">Drill Heads for winterover storage - ICL  - Do Not Freeze </v>
      </c>
      <c r="E66" s="449">
        <v>192</v>
      </c>
      <c r="F66" s="449">
        <v>24</v>
      </c>
      <c r="G66" s="449">
        <v>24</v>
      </c>
      <c r="H66" s="445">
        <v>1</v>
      </c>
      <c r="I66" s="442">
        <v>64</v>
      </c>
      <c r="J66" s="442">
        <v>1060</v>
      </c>
      <c r="K66" s="441">
        <v>1060</v>
      </c>
      <c r="L66" s="492" t="str">
        <v>actual</v>
      </c>
      <c r="M66" s="476" t="str">
        <v>DNF</v>
      </c>
      <c r="N66" s="462" t="str">
        <v xml:space="preserve"> U. Wisc. Madison</v>
      </c>
      <c r="O66" s="473">
        <v>805</v>
      </c>
      <c r="P66" s="429">
        <v>44440</v>
      </c>
      <c r="Q66" s="429" t="str">
        <v>UWM - PTH</v>
      </c>
      <c r="R66" s="429">
        <v>45245</v>
      </c>
      <c r="S66" s="457" t="str">
        <v>Truck</v>
      </c>
      <c r="T66" s="458" t="str">
        <v>PTH - MCM</v>
      </c>
      <c r="U66" s="458" t="str">
        <v>-</v>
      </c>
      <c r="V66" s="459" t="str">
        <v>USAP Vessel</v>
      </c>
      <c r="W66" s="460" t="str">
        <v>USAP Vessel</v>
      </c>
      <c r="X66" s="460" t="str">
        <v>-</v>
      </c>
      <c r="Y66" s="435" t="str">
        <v>-</v>
      </c>
      <c r="Z66" s="426">
        <v>45328</v>
      </c>
      <c r="AA66" s="435" t="str">
        <v>-</v>
      </c>
      <c r="AB66" s="435" t="str">
        <v>LC-130</v>
      </c>
      <c r="AC66" s="435">
        <v>45334</v>
      </c>
      <c r="AD66" s="462" t="str">
        <v>Yes</v>
      </c>
      <c r="AE66" s="462" t="str">
        <v>FY24 inter</v>
      </c>
      <c r="AF66" s="462" t="str">
        <v>FY24 intra</v>
      </c>
      <c r="AG66" s="435" t="str">
        <v>D. Gibson</v>
      </c>
      <c r="AH66" s="435">
        <v>44477</v>
      </c>
      <c r="AI66" s="435" t="str">
        <v>I. McEwen</v>
      </c>
      <c r="AJ66" s="435">
        <v>44477</v>
      </c>
      <c r="AK66" s="462">
        <v>0</v>
      </c>
      <c r="AL66" s="451">
        <v>0</v>
      </c>
    </row>
    <row r="67" spans="1:38" ht="33.950000000000003">
      <c r="A67" s="478">
        <v>1.2</v>
      </c>
      <c r="B67" s="479" t="str">
        <v>Installation</v>
      </c>
      <c r="C67" s="481" t="str">
        <v xml:space="preserve">Installation Hardware  87-93 </v>
      </c>
      <c r="D67" s="465" t="str">
        <v>Installation hardware for winterover storage at Pole</v>
      </c>
      <c r="E67" s="482">
        <v>96</v>
      </c>
      <c r="F67" s="482">
        <v>48</v>
      </c>
      <c r="G67" s="482">
        <v>48</v>
      </c>
      <c r="H67" s="445">
        <v>7</v>
      </c>
      <c r="I67" s="441">
        <v>896</v>
      </c>
      <c r="J67" s="441">
        <v>1000</v>
      </c>
      <c r="K67" s="441">
        <v>7000</v>
      </c>
      <c r="L67" s="483" t="str">
        <v>estimated</v>
      </c>
      <c r="M67" s="484">
        <v>0</v>
      </c>
      <c r="N67" s="462" t="str">
        <v xml:space="preserve"> U. Wisc. Madison</v>
      </c>
      <c r="O67" s="473">
        <v>123</v>
      </c>
      <c r="P67" s="429">
        <v>45122</v>
      </c>
      <c r="Q67" s="429" t="str">
        <v>UWM - PTH</v>
      </c>
      <c r="R67" s="429">
        <v>45245</v>
      </c>
      <c r="S67" s="457" t="str">
        <v>Truck</v>
      </c>
      <c r="T67" s="458" t="str">
        <v>PTH - MCM</v>
      </c>
      <c r="U67" s="458" t="str">
        <v>-</v>
      </c>
      <c r="V67" s="459" t="str">
        <v>USAP Vessel</v>
      </c>
      <c r="W67" s="460" t="str">
        <v>USAP Vessel</v>
      </c>
      <c r="X67" s="460" t="str">
        <v>-</v>
      </c>
      <c r="Y67" s="426" t="str">
        <v>-</v>
      </c>
      <c r="Z67" s="426">
        <v>45328</v>
      </c>
      <c r="AA67" s="435" t="str">
        <v>-</v>
      </c>
      <c r="AB67" s="435" t="str">
        <v>LC-130</v>
      </c>
      <c r="AC67" s="435">
        <v>45337</v>
      </c>
      <c r="AD67" s="462" t="str">
        <v>Yes</v>
      </c>
      <c r="AE67" s="462" t="str">
        <v>FY24 inter</v>
      </c>
      <c r="AF67" s="462" t="str">
        <v>FY24 intra</v>
      </c>
      <c r="AG67" s="435" t="str">
        <v>D. Tosi</v>
      </c>
      <c r="AH67" s="435">
        <v>44461</v>
      </c>
      <c r="AI67" s="435" t="str">
        <v>I. McEwen</v>
      </c>
      <c r="AJ67" s="435">
        <v>44461</v>
      </c>
      <c r="AK67" s="462">
        <v>0</v>
      </c>
      <c r="AL67" s="451">
        <v>0</v>
      </c>
    </row>
    <row r="68" spans="1:38" ht="33.950000000000003">
      <c r="A68" s="478">
        <v>1.2</v>
      </c>
      <c r="B68" s="479" t="str">
        <v>Installation</v>
      </c>
      <c r="C68" s="481" t="str">
        <v xml:space="preserve">Installation Weights  87-93 </v>
      </c>
      <c r="D68" s="465" t="str">
        <v>Installation weights for winterover storage at Pole</v>
      </c>
      <c r="E68" s="482">
        <v>36</v>
      </c>
      <c r="F68" s="482">
        <v>24</v>
      </c>
      <c r="G68" s="482">
        <v>24</v>
      </c>
      <c r="H68" s="445">
        <v>7</v>
      </c>
      <c r="I68" s="441">
        <v>84</v>
      </c>
      <c r="J68" s="441">
        <v>785.71428571428567</v>
      </c>
      <c r="K68" s="441">
        <v>5500</v>
      </c>
      <c r="L68" s="483" t="str">
        <v>estimated</v>
      </c>
      <c r="M68" s="493">
        <v>0</v>
      </c>
      <c r="N68" s="462" t="str">
        <v xml:space="preserve"> U. Wisc. Madison</v>
      </c>
      <c r="O68" s="473">
        <v>123</v>
      </c>
      <c r="P68" s="429">
        <v>45122</v>
      </c>
      <c r="Q68" s="429" t="str">
        <v>UWM - PTH</v>
      </c>
      <c r="R68" s="429">
        <v>45245</v>
      </c>
      <c r="S68" s="457" t="str">
        <v>Truck</v>
      </c>
      <c r="T68" s="458" t="str">
        <v>PTH - MCM</v>
      </c>
      <c r="U68" s="458" t="str">
        <v>-</v>
      </c>
      <c r="V68" s="459" t="str">
        <v>USAP Vessel</v>
      </c>
      <c r="W68" s="460" t="str">
        <v>USAP Vessel</v>
      </c>
      <c r="X68" s="460" t="str">
        <v>-</v>
      </c>
      <c r="Y68" s="426" t="str">
        <v>-</v>
      </c>
      <c r="Z68" s="426">
        <v>45328</v>
      </c>
      <c r="AA68" s="435" t="str">
        <v>-</v>
      </c>
      <c r="AB68" s="435" t="str">
        <v>LC-130</v>
      </c>
      <c r="AC68" s="435">
        <v>45337</v>
      </c>
      <c r="AD68" s="462" t="str">
        <v>Yes</v>
      </c>
      <c r="AE68" s="462" t="str">
        <v>FY24 inter</v>
      </c>
      <c r="AF68" s="462" t="str">
        <v>FY24 intra</v>
      </c>
      <c r="AG68" s="435" t="str">
        <v>D. Tosi</v>
      </c>
      <c r="AH68" s="435">
        <v>44461</v>
      </c>
      <c r="AI68" s="435" t="str">
        <v>I. McEwen</v>
      </c>
      <c r="AJ68" s="435">
        <v>44461</v>
      </c>
      <c r="AK68" s="462">
        <v>0</v>
      </c>
      <c r="AL68" s="451">
        <v>0</v>
      </c>
    </row>
    <row r="69" spans="1:38" ht="33.950000000000003">
      <c r="A69" s="478">
        <v>1.5</v>
      </c>
      <c r="B69" s="479" t="str">
        <v>Installation</v>
      </c>
      <c r="C69" s="481" t="str">
        <v>Calibration/Special Devices 87-88</v>
      </c>
      <c r="D69" s="481" t="str">
        <v>3+1 PencilBeams from UW, 2+1 pDOM and 1+1 LOMs - Do Not Deep Freeze</v>
      </c>
      <c r="E69" s="482">
        <v>58</v>
      </c>
      <c r="F69" s="482">
        <v>38</v>
      </c>
      <c r="G69" s="482">
        <v>41</v>
      </c>
      <c r="H69" s="445">
        <v>1</v>
      </c>
      <c r="I69" s="441">
        <v>52.293981481481481</v>
      </c>
      <c r="J69" s="441">
        <v>836</v>
      </c>
      <c r="K69" s="441">
        <v>836</v>
      </c>
      <c r="L69" s="483" t="str">
        <v>estimated</v>
      </c>
      <c r="M69" s="493" t="str">
        <v>DNDF [-40C]</v>
      </c>
      <c r="N69" s="462" t="str">
        <v xml:space="preserve"> U. Wisc. Madison</v>
      </c>
      <c r="O69" s="473">
        <v>244</v>
      </c>
      <c r="P69" s="429">
        <v>44895</v>
      </c>
      <c r="Q69" s="429" t="str">
        <v>UWM - PTH</v>
      </c>
      <c r="R69" s="429">
        <v>45139</v>
      </c>
      <c r="S69" s="457" t="str">
        <v>Truck</v>
      </c>
      <c r="T69" s="458" t="str">
        <v>PTH - CHC</v>
      </c>
      <c r="U69" s="458" t="str">
        <v>-</v>
      </c>
      <c r="V69" s="459" t="str">
        <v>ComSur</v>
      </c>
      <c r="W69" s="460" t="str">
        <v>CHC-MCM</v>
      </c>
      <c r="X69" s="460" t="str">
        <v>-</v>
      </c>
      <c r="Y69" s="426" t="str">
        <v>USAP Air</v>
      </c>
      <c r="Z69" s="426">
        <v>45231</v>
      </c>
      <c r="AA69" s="435" t="str">
        <v>-</v>
      </c>
      <c r="AB69" s="435" t="str">
        <v>LC-130</v>
      </c>
      <c r="AC69" s="435">
        <v>45275</v>
      </c>
      <c r="AD69" s="462" t="str">
        <v>Yes</v>
      </c>
      <c r="AE69" s="462" t="str">
        <v>FY24 inter</v>
      </c>
      <c r="AF69" s="462" t="str">
        <v>FY24 intra</v>
      </c>
      <c r="AG69" s="435" t="str">
        <v>D. Williams</v>
      </c>
      <c r="AH69" s="435">
        <v>44482</v>
      </c>
      <c r="AI69" s="435" t="str">
        <v>D. Tosi</v>
      </c>
      <c r="AJ69" s="435">
        <v>44482</v>
      </c>
      <c r="AK69" s="462">
        <v>0</v>
      </c>
      <c r="AL69" s="451">
        <v>0</v>
      </c>
    </row>
    <row r="70" spans="1:38" ht="51">
      <c r="A70" s="477">
        <v>1.3</v>
      </c>
      <c r="B70" s="475" t="str">
        <v>Installation</v>
      </c>
      <c r="C70" s="472" t="str">
        <v>Special Devices 87-88</v>
      </c>
      <c r="D70" s="472" t="str">
        <v>Special devices for 2 strings from UW (4+1 Radio Pulsers (all strings) 1+1 Radio Receivers, 3+1 FOM)  - Do Not Deep Freeze</v>
      </c>
      <c r="E70" s="445">
        <v>63</v>
      </c>
      <c r="F70" s="445">
        <v>40</v>
      </c>
      <c r="G70" s="445">
        <v>42</v>
      </c>
      <c r="H70" s="445">
        <v>1</v>
      </c>
      <c r="I70" s="441">
        <v>61.25</v>
      </c>
      <c r="J70" s="441">
        <v>677</v>
      </c>
      <c r="K70" s="441">
        <v>677</v>
      </c>
      <c r="L70" s="485" t="str">
        <v>preliminary</v>
      </c>
      <c r="M70" s="463" t="str">
        <v>DNDF [-40C]</v>
      </c>
      <c r="N70" s="462" t="str">
        <v>UWM/Kansas</v>
      </c>
      <c r="O70" s="473">
        <v>212</v>
      </c>
      <c r="P70" s="429">
        <v>44927</v>
      </c>
      <c r="Q70" s="429" t="str">
        <v>UWM - PTH</v>
      </c>
      <c r="R70" s="429">
        <v>45139</v>
      </c>
      <c r="S70" s="457" t="str">
        <v>Truck</v>
      </c>
      <c r="T70" s="458" t="str">
        <v>PTH - CHC</v>
      </c>
      <c r="U70" s="458" t="str">
        <v>-</v>
      </c>
      <c r="V70" s="459" t="str">
        <v>ComSur</v>
      </c>
      <c r="W70" s="460" t="str">
        <v>CHC-MCM</v>
      </c>
      <c r="X70" s="460" t="str">
        <v>-</v>
      </c>
      <c r="Y70" s="435" t="str">
        <v>USAP Air</v>
      </c>
      <c r="Z70" s="426">
        <v>45231</v>
      </c>
      <c r="AA70" s="435" t="str">
        <v>-</v>
      </c>
      <c r="AB70" s="435" t="str">
        <v>LC-130</v>
      </c>
      <c r="AC70" s="435">
        <v>45275</v>
      </c>
      <c r="AD70" s="462" t="str">
        <v>Yes</v>
      </c>
      <c r="AE70" s="462" t="str">
        <v>FY24 inter</v>
      </c>
      <c r="AF70" s="462" t="str">
        <v>FY24 intra</v>
      </c>
      <c r="AG70" s="435" t="str">
        <v>S. Boeser</v>
      </c>
      <c r="AH70" s="435">
        <v>44482</v>
      </c>
      <c r="AI70" s="435" t="str">
        <v>D. Tosi</v>
      </c>
      <c r="AJ70" s="435">
        <v>44482</v>
      </c>
      <c r="AK70" s="462" t="str">
        <v>4+1 Radio Pulser, weight  50 kg. 1+1 Radio receiver, assume mDOM weight, 3+1 FOM (assume mDOM weight) + 2ftx2ftx4ft FOM box (50 lbs).  Special Devices from UW. FTS, seismometer missing from estimate.  250 lbs crate estimate</v>
      </c>
      <c r="AL70" s="451">
        <v>0</v>
      </c>
    </row>
    <row r="71" spans="1:38" ht="33.950000000000003">
      <c r="A71" s="477">
        <v>1.2</v>
      </c>
      <c r="B71" s="475" t="str">
        <v>Installation</v>
      </c>
      <c r="C71" s="472" t="str">
        <v>Misc. Science Equipment - FY24</v>
      </c>
      <c r="D71" s="472" t="str">
        <v xml:space="preserve">Scientific and test equipment (SPAT, DCM et al.) - Do Not Freeze </v>
      </c>
      <c r="E71" s="445">
        <v>48</v>
      </c>
      <c r="F71" s="445">
        <v>48</v>
      </c>
      <c r="G71" s="445">
        <v>48</v>
      </c>
      <c r="H71" s="445">
        <v>1</v>
      </c>
      <c r="I71" s="441">
        <v>64</v>
      </c>
      <c r="J71" s="441">
        <v>1500</v>
      </c>
      <c r="K71" s="441">
        <v>1500</v>
      </c>
      <c r="L71" s="485" t="str">
        <v>estimated</v>
      </c>
      <c r="M71" s="463" t="str">
        <v>DNF</v>
      </c>
      <c r="N71" s="462" t="str">
        <v xml:space="preserve"> U. Wisc. Madison</v>
      </c>
      <c r="O71" s="473">
        <v>61</v>
      </c>
      <c r="P71" s="429">
        <v>45078</v>
      </c>
      <c r="Q71" s="429" t="str">
        <v>UWM - PTH</v>
      </c>
      <c r="R71" s="429">
        <v>45139</v>
      </c>
      <c r="S71" s="457" t="str">
        <v>Truck</v>
      </c>
      <c r="T71" s="458" t="str">
        <v>PTH - CHC</v>
      </c>
      <c r="U71" s="458" t="str">
        <v>-</v>
      </c>
      <c r="V71" s="459" t="str">
        <v>ComSur</v>
      </c>
      <c r="W71" s="460" t="str">
        <v>CHC-MCM</v>
      </c>
      <c r="X71" s="460" t="str">
        <v>-</v>
      </c>
      <c r="Y71" s="435" t="str">
        <v>USAP Air</v>
      </c>
      <c r="Z71" s="426">
        <v>45231</v>
      </c>
      <c r="AA71" s="435" t="str">
        <v>-</v>
      </c>
      <c r="AB71" s="435" t="str">
        <v>LC-130</v>
      </c>
      <c r="AC71" s="435">
        <v>45261</v>
      </c>
      <c r="AD71" s="462" t="str">
        <v>Yes</v>
      </c>
      <c r="AE71" s="462" t="str">
        <v>FY24 inter</v>
      </c>
      <c r="AF71" s="462" t="str">
        <v>FY24 intra</v>
      </c>
      <c r="AG71" s="435" t="str">
        <v>T. Karg</v>
      </c>
      <c r="AH71" s="435">
        <v>44477</v>
      </c>
      <c r="AI71" s="435" t="str">
        <v>D. Tosi</v>
      </c>
      <c r="AJ71" s="435">
        <v>44477</v>
      </c>
      <c r="AK71" s="462">
        <v>0</v>
      </c>
      <c r="AL71" s="451">
        <v>0</v>
      </c>
    </row>
    <row r="72" spans="1:38" ht="51">
      <c r="A72" s="477">
        <v>1.4</v>
      </c>
      <c r="B72" s="475" t="str">
        <v>Installation</v>
      </c>
      <c r="C72" s="472" t="str">
        <v>Breakout cables for strings 87-88</v>
      </c>
      <c r="D72" s="472" t="str">
        <v>Standard vessel shipping.  2 wooden crates containing spooled breakout cable assemblies - 96 cf / 1,000 lbs each - Do Not Deep Freeze</v>
      </c>
      <c r="E72" s="445">
        <v>72</v>
      </c>
      <c r="F72" s="445">
        <v>48</v>
      </c>
      <c r="G72" s="445">
        <v>48</v>
      </c>
      <c r="H72" s="445">
        <v>2</v>
      </c>
      <c r="I72" s="441">
        <v>192</v>
      </c>
      <c r="J72" s="441">
        <v>1000</v>
      </c>
      <c r="K72" s="441">
        <v>2000</v>
      </c>
      <c r="L72" s="485" t="str">
        <v>estimated</v>
      </c>
      <c r="M72" s="492" t="str">
        <v>DNDF[-40C](*)</v>
      </c>
      <c r="N72" s="462" t="str">
        <v>MSU</v>
      </c>
      <c r="O72" s="473">
        <v>46</v>
      </c>
      <c r="P72" s="429">
        <v>44985</v>
      </c>
      <c r="Q72" s="429" t="str">
        <v>MSU - PTH</v>
      </c>
      <c r="R72" s="429">
        <v>45031</v>
      </c>
      <c r="S72" s="457" t="str">
        <v>Truck</v>
      </c>
      <c r="T72" s="458" t="str">
        <v>PTH - MCM</v>
      </c>
      <c r="U72" s="458" t="str">
        <v>-</v>
      </c>
      <c r="V72" s="459" t="str">
        <v>USAP Vessel</v>
      </c>
      <c r="W72" s="460" t="str">
        <v>USAP Vessel</v>
      </c>
      <c r="X72" s="460" t="str">
        <v>-</v>
      </c>
      <c r="Y72" s="435" t="str">
        <v>-</v>
      </c>
      <c r="Z72" s="426">
        <v>45328</v>
      </c>
      <c r="AA72" s="435" t="str">
        <v>-</v>
      </c>
      <c r="AB72" s="435" t="str">
        <v>LC-130</v>
      </c>
      <c r="AC72" s="435">
        <v>45337</v>
      </c>
      <c r="AD72" s="462" t="str">
        <v>Yes</v>
      </c>
      <c r="AE72" s="462" t="str">
        <v>FY24 inter</v>
      </c>
      <c r="AF72" s="462" t="str">
        <v>FY24 intra</v>
      </c>
      <c r="AG72" s="435" t="str">
        <v>T. DeYoung</v>
      </c>
      <c r="AH72" s="435">
        <v>44459</v>
      </c>
      <c r="AI72" s="435" t="str">
        <v>D. Tosi</v>
      </c>
      <c r="AJ72" s="435">
        <v>44480</v>
      </c>
      <c r="AK72" s="462" t="str">
        <v>Shipping date early due to storage limitations at MSU. Additional float at Port Hueneme assuming USAP vessel departure.  Preliminary estimate of weight and size.  Pre-staging string 87-88 equipment in cryo or ICL. - if shipping to Pole not possible before end of 23/24 season could overwinter in McM (at an increased risk and pending low temperature test) (*)</v>
      </c>
      <c r="AL72" s="451">
        <v>0</v>
      </c>
    </row>
    <row r="73" spans="1:38" ht="51">
      <c r="A73" s="477">
        <v>1.4</v>
      </c>
      <c r="B73" s="475" t="str">
        <v>Installation</v>
      </c>
      <c r="C73" s="472" t="str">
        <v>Breakout cables for strings 89-93</v>
      </c>
      <c r="D73" s="472" t="str">
        <v>Stored in McMurdo FY24. 5 wooden crates containing spooled breakout cable assemblies - 96 cf/ 1,000 lbs each (preliminary) -  Do Not Deep Freeze</v>
      </c>
      <c r="E73" s="494">
        <v>72</v>
      </c>
      <c r="F73" s="494">
        <v>48</v>
      </c>
      <c r="G73" s="494">
        <v>48</v>
      </c>
      <c r="H73" s="445">
        <v>5</v>
      </c>
      <c r="I73" s="441">
        <v>480</v>
      </c>
      <c r="J73" s="441">
        <v>1000</v>
      </c>
      <c r="K73" s="441">
        <v>5000</v>
      </c>
      <c r="L73" s="485" t="str">
        <v>estimated</v>
      </c>
      <c r="M73" s="463" t="str">
        <v>DNDF[-40C](*)</v>
      </c>
      <c r="N73" s="462" t="str">
        <v>MSU</v>
      </c>
      <c r="O73" s="473">
        <v>24</v>
      </c>
      <c r="P73" s="429">
        <v>45068</v>
      </c>
      <c r="Q73" s="429" t="str">
        <v>MSU - PTH</v>
      </c>
      <c r="R73" s="429">
        <v>45092</v>
      </c>
      <c r="S73" s="457" t="str">
        <v>Truck</v>
      </c>
      <c r="T73" s="458" t="str">
        <v>PTH - MCM</v>
      </c>
      <c r="U73" s="458" t="str">
        <v>-</v>
      </c>
      <c r="V73" s="459" t="str">
        <v>USAP Vessel</v>
      </c>
      <c r="W73" s="460" t="str">
        <v>USAP Vessel</v>
      </c>
      <c r="X73" s="460" t="str">
        <v>-</v>
      </c>
      <c r="Y73" s="435" t="str">
        <v>-</v>
      </c>
      <c r="Z73" s="426">
        <v>45328</v>
      </c>
      <c r="AA73" s="435" t="str">
        <v>-</v>
      </c>
      <c r="AB73" s="435" t="str">
        <v>LC-130/SPoT</v>
      </c>
      <c r="AC73" s="435">
        <v>45621</v>
      </c>
      <c r="AD73" s="462" t="str">
        <v>Yes</v>
      </c>
      <c r="AE73" s="462" t="str">
        <v>FY24 inter</v>
      </c>
      <c r="AF73" s="462" t="str">
        <v>FY25 intra</v>
      </c>
      <c r="AG73" s="435" t="str">
        <v>T. DeYoung</v>
      </c>
      <c r="AH73" s="435">
        <v>44459</v>
      </c>
      <c r="AI73" s="435" t="str">
        <v>D. Tosi</v>
      </c>
      <c r="AJ73" s="435">
        <v>44459</v>
      </c>
      <c r="AK73" s="462" t="str">
        <v xml:space="preserve">Float in PTH due to storage limitation in MSU.
(*) storage in McMurdo pending low temperature test  </v>
      </c>
      <c r="AL73" s="451">
        <v>0</v>
      </c>
    </row>
    <row r="74" spans="1:38" ht="33.950000000000003">
      <c r="A74" s="478">
        <v>1.4</v>
      </c>
      <c r="B74" s="479" t="str">
        <v>Installation</v>
      </c>
      <c r="C74" s="481" t="str">
        <v>Main (downhole) load members 87-93</v>
      </c>
      <c r="D74" s="465" t="str">
        <v>May be possible to store in McMurdo until drill season - Do Not Deep Freeze</v>
      </c>
      <c r="E74" s="482">
        <v>47</v>
      </c>
      <c r="F74" s="482">
        <v>47</v>
      </c>
      <c r="G74" s="482">
        <v>39</v>
      </c>
      <c r="H74" s="445">
        <v>7</v>
      </c>
      <c r="I74" s="441">
        <v>348.99131944444446</v>
      </c>
      <c r="J74" s="441">
        <v>766</v>
      </c>
      <c r="K74" s="441">
        <v>5362</v>
      </c>
      <c r="L74" s="485" t="str">
        <v>preliminary</v>
      </c>
      <c r="M74" s="484" t="str">
        <v>DNDF[-40C](*)</v>
      </c>
      <c r="N74" s="462" t="str">
        <v>MSU</v>
      </c>
      <c r="O74" s="473">
        <v>14</v>
      </c>
      <c r="P74" s="429">
        <v>45017</v>
      </c>
      <c r="Q74" s="429" t="str">
        <v>MSU - PTH</v>
      </c>
      <c r="R74" s="429">
        <v>45031</v>
      </c>
      <c r="S74" s="457" t="str">
        <v>Truck</v>
      </c>
      <c r="T74" s="458" t="str">
        <v>PTH - MCM</v>
      </c>
      <c r="U74" s="458" t="str">
        <v>-</v>
      </c>
      <c r="V74" s="459" t="str">
        <v>USAP Vessel</v>
      </c>
      <c r="W74" s="460" t="str">
        <v>USAP Vessel</v>
      </c>
      <c r="X74" s="460" t="str">
        <v>-</v>
      </c>
      <c r="Y74" s="435" t="str">
        <v>-</v>
      </c>
      <c r="Z74" s="426">
        <v>45328</v>
      </c>
      <c r="AA74" s="435" t="str">
        <v>-</v>
      </c>
      <c r="AB74" s="435" t="str">
        <v>LC-130/SPoT</v>
      </c>
      <c r="AC74" s="435">
        <v>45627</v>
      </c>
      <c r="AD74" s="462" t="str">
        <v>Yes</v>
      </c>
      <c r="AE74" s="462" t="str">
        <v>FY24 inter</v>
      </c>
      <c r="AF74" s="462" t="str">
        <v>FY25 intra</v>
      </c>
      <c r="AG74" s="435" t="str">
        <v>T. DeYoung</v>
      </c>
      <c r="AH74" s="435">
        <v>44459</v>
      </c>
      <c r="AI74" s="435" t="str">
        <v>D. Tosi</v>
      </c>
      <c r="AJ74" s="435">
        <v>44480</v>
      </c>
      <c r="AK74" s="462" t="str">
        <v>Shipping date synched with main (downhole) cables due to storage limitation in MSU. Float in PTH.</v>
      </c>
      <c r="AL74" s="451">
        <v>0</v>
      </c>
    </row>
    <row r="75" spans="1:38" ht="51">
      <c r="A75" s="474">
        <v>1.4</v>
      </c>
      <c r="B75" s="475" t="str">
        <v>Installation</v>
      </c>
      <c r="C75" s="465" t="str">
        <v>Main (downhole) cables 87-93</v>
      </c>
      <c r="D75" s="465" t="str">
        <v>May be possible to store in McMurdo until drill season - Do Not Deep Freeze</v>
      </c>
      <c r="E75" s="449">
        <v>96</v>
      </c>
      <c r="F75" s="449">
        <v>96</v>
      </c>
      <c r="G75" s="449">
        <v>96</v>
      </c>
      <c r="H75" s="449">
        <v>7</v>
      </c>
      <c r="I75" s="441">
        <v>3584</v>
      </c>
      <c r="J75" s="441">
        <v>15000</v>
      </c>
      <c r="K75" s="441">
        <v>105000</v>
      </c>
      <c r="L75" s="485" t="str">
        <v>preliminary</v>
      </c>
      <c r="M75" s="463" t="str">
        <v>DNDF[-40C](*)</v>
      </c>
      <c r="N75" s="462" t="str">
        <v>MSU</v>
      </c>
      <c r="O75" s="473">
        <v>14</v>
      </c>
      <c r="P75" s="429">
        <v>45017</v>
      </c>
      <c r="Q75" s="429" t="str">
        <v>MSU - PTH</v>
      </c>
      <c r="R75" s="429">
        <v>45031</v>
      </c>
      <c r="S75" s="457" t="str">
        <v>Truck</v>
      </c>
      <c r="T75" s="458" t="str">
        <v>PTH - MCM</v>
      </c>
      <c r="U75" s="458" t="str">
        <v>-</v>
      </c>
      <c r="V75" s="459" t="str">
        <v>USAP Vessel</v>
      </c>
      <c r="W75" s="460" t="str">
        <v>USAP Vessel</v>
      </c>
      <c r="X75" s="460" t="str">
        <v>-</v>
      </c>
      <c r="Y75" s="435" t="str">
        <v>-</v>
      </c>
      <c r="Z75" s="426">
        <v>45328</v>
      </c>
      <c r="AA75" s="435" t="str">
        <v>-</v>
      </c>
      <c r="AB75" s="435" t="str">
        <v>LC-130/SPoT</v>
      </c>
      <c r="AC75" s="435">
        <v>45627</v>
      </c>
      <c r="AD75" s="462" t="str">
        <v>Yes</v>
      </c>
      <c r="AE75" s="462" t="str">
        <v>FY24 inter</v>
      </c>
      <c r="AF75" s="462" t="str">
        <v>FY25 intra</v>
      </c>
      <c r="AG75" s="435" t="str">
        <v>T. DeYoung</v>
      </c>
      <c r="AH75" s="435">
        <v>44459</v>
      </c>
      <c r="AI75" s="435" t="str">
        <v>D. Tosi</v>
      </c>
      <c r="AJ75" s="435">
        <v>44480</v>
      </c>
      <c r="AK75" s="462" t="str">
        <v>Shipping date chosen to be 2 weeks after scheduled ready to ship date because of storage limitations at MSU. additional 7 months of float at Port Hueneme assuming USAP vessel departure.  (*) storage in McMurdo pending low temperature test.</v>
      </c>
      <c r="AL75" s="451">
        <v>0</v>
      </c>
    </row>
    <row r="76" spans="1:38" ht="68.099999999999994">
      <c r="A76" s="474">
        <v>1.3</v>
      </c>
      <c r="B76" s="475" t="str">
        <v>Installation</v>
      </c>
      <c r="C76" s="465" t="str">
        <v>String Sensors 87-88</v>
      </c>
      <c r="D76" s="465" t="str">
        <v>Optical sensors for 2 strings from Germany (mDOMs) (spares included) - Do Not Deep Freeze</v>
      </c>
      <c r="E76" s="449">
        <v>40</v>
      </c>
      <c r="F76" s="449">
        <v>48</v>
      </c>
      <c r="G76" s="449">
        <v>46</v>
      </c>
      <c r="H76" s="449">
        <v>16</v>
      </c>
      <c r="I76" s="441">
        <v>817.77777777777783</v>
      </c>
      <c r="J76" s="441">
        <v>573</v>
      </c>
      <c r="K76" s="441">
        <v>9168</v>
      </c>
      <c r="L76" s="485" t="str">
        <v>actual</v>
      </c>
      <c r="M76" s="463" t="str">
        <v>DNDF [-40C]</v>
      </c>
      <c r="N76" s="462" t="str">
        <v>DESY</v>
      </c>
      <c r="O76" s="473">
        <v>122</v>
      </c>
      <c r="P76" s="429">
        <v>45017</v>
      </c>
      <c r="Q76" s="429" t="str">
        <v>DESY - CHC</v>
      </c>
      <c r="R76" s="429">
        <v>45139</v>
      </c>
      <c r="S76" s="457" t="str">
        <v>ComSur</v>
      </c>
      <c r="T76" s="458" t="str">
        <v>DESY-CHC</v>
      </c>
      <c r="U76" s="458" t="str">
        <v>-</v>
      </c>
      <c r="V76" s="459" t="str">
        <v>ComSur</v>
      </c>
      <c r="W76" s="460" t="str">
        <v>CHC - MCM</v>
      </c>
      <c r="X76" s="460" t="str">
        <v>-</v>
      </c>
      <c r="Y76" s="435" t="str">
        <v>USAP  Air</v>
      </c>
      <c r="Z76" s="426">
        <v>45231</v>
      </c>
      <c r="AA76" s="435" t="str">
        <v>-</v>
      </c>
      <c r="AB76" s="435" t="str">
        <v>LC-130</v>
      </c>
      <c r="AC76" s="435">
        <v>45306</v>
      </c>
      <c r="AD76" s="462" t="str">
        <v>Yes</v>
      </c>
      <c r="AE76" s="462" t="str">
        <v>FY24 inter</v>
      </c>
      <c r="AF76" s="462" t="str">
        <v>FY24 intra</v>
      </c>
      <c r="AG76" s="435" t="str">
        <v>T. Karg</v>
      </c>
      <c r="AH76" s="435">
        <v>44459</v>
      </c>
      <c r="AI76" s="435" t="str">
        <v>D. Tosi</v>
      </c>
      <c r="AJ76" s="435">
        <v>44461</v>
      </c>
      <c r="AK76" s="462" t="str">
        <v>mDOM weight is 62 lbs (25kg/sensor + 3 kg/box) + 35kg pallet, assume 8 mDOMs/pallet - 116 to be deployed + 12 spares - 
shipped in 20 HC container. Container weight not included in the assumption that pallet will be taken out in CHC.</v>
      </c>
      <c r="AL76" s="451">
        <v>0</v>
      </c>
    </row>
    <row r="77" spans="1:38" ht="51">
      <c r="A77" s="474">
        <v>1.3</v>
      </c>
      <c r="B77" s="475" t="str">
        <v>Installation</v>
      </c>
      <c r="C77" s="465" t="str">
        <v>String Sensors 87-88</v>
      </c>
      <c r="D77" s="465" t="str">
        <v>Optical sensors for 2 strings from Germany (mDOMs) (SPARES) - Do Not Deep Freeze</v>
      </c>
      <c r="E77" s="449">
        <v>40</v>
      </c>
      <c r="F77" s="449">
        <v>48</v>
      </c>
      <c r="G77" s="449">
        <v>46</v>
      </c>
      <c r="H77" s="449">
        <v>0</v>
      </c>
      <c r="I77" s="441">
        <v>0</v>
      </c>
      <c r="J77" s="441">
        <v>573</v>
      </c>
      <c r="K77" s="441">
        <v>0</v>
      </c>
      <c r="L77" s="485" t="str">
        <v>actual</v>
      </c>
      <c r="M77" s="463" t="str">
        <v>DNDF [-40C]</v>
      </c>
      <c r="N77" s="462" t="str">
        <v>DESY</v>
      </c>
      <c r="O77" s="473">
        <v>122</v>
      </c>
      <c r="P77" s="429">
        <v>45017</v>
      </c>
      <c r="Q77" s="429" t="str">
        <v>DESY - CHC</v>
      </c>
      <c r="R77" s="429">
        <v>45139</v>
      </c>
      <c r="S77" s="457" t="str">
        <v>ComSur</v>
      </c>
      <c r="T77" s="458" t="str">
        <v>DESY-CHC</v>
      </c>
      <c r="U77" s="458" t="str">
        <v>-</v>
      </c>
      <c r="V77" s="459" t="str">
        <v>ComSur</v>
      </c>
      <c r="W77" s="460" t="str">
        <v>CHC - MCM</v>
      </c>
      <c r="X77" s="460" t="str">
        <v>-</v>
      </c>
      <c r="Y77" s="435" t="str">
        <v>USAP  Air</v>
      </c>
      <c r="Z77" s="426">
        <v>45231</v>
      </c>
      <c r="AA77" s="435" t="str">
        <v>-</v>
      </c>
      <c r="AB77" s="435" t="str">
        <v>LC-130</v>
      </c>
      <c r="AC77" s="435">
        <v>45306</v>
      </c>
      <c r="AD77" s="462" t="str">
        <v>Yes</v>
      </c>
      <c r="AE77" s="462" t="str">
        <v>FY24 inter</v>
      </c>
      <c r="AF77" s="462" t="str">
        <v>FY24 intra</v>
      </c>
      <c r="AG77" s="435" t="str">
        <v>T. Karg</v>
      </c>
      <c r="AH77" s="435">
        <v>44459</v>
      </c>
      <c r="AI77" s="435" t="str">
        <v>D. Tosi</v>
      </c>
      <c r="AJ77" s="435">
        <v>44461</v>
      </c>
      <c r="AK77" s="462" t="str">
        <v>mDOM weight is 62 lbs (25kg/sensor + 3 kg/box) + 35kg pallet, assume 8 mDOMs/pallet - shipped in 20 HC container. Container weight not included in the assumption that pallet will be taken out in CHC.</v>
      </c>
      <c r="AL77" s="451">
        <v>0</v>
      </c>
    </row>
    <row r="78" spans="1:38" ht="51">
      <c r="A78" s="474">
        <v>1.3</v>
      </c>
      <c r="B78" s="475" t="str">
        <v>Installation</v>
      </c>
      <c r="C78" s="465" t="str">
        <v>Special Devices 87-88</v>
      </c>
      <c r="D78" s="465" t="str">
        <v>Special devices for 2 strings from DESY/Germany/Sweden (8 WOMs, 0 Abalone) + spares - Do Not Deep Freeze</v>
      </c>
      <c r="E78" s="449">
        <v>40</v>
      </c>
      <c r="F78" s="449">
        <v>21</v>
      </c>
      <c r="G78" s="449">
        <v>64</v>
      </c>
      <c r="H78" s="449">
        <v>1</v>
      </c>
      <c r="I78" s="441">
        <v>31.111111111111111</v>
      </c>
      <c r="J78" s="441">
        <v>701</v>
      </c>
      <c r="K78" s="441">
        <v>701</v>
      </c>
      <c r="L78" s="485" t="str">
        <v>estimated</v>
      </c>
      <c r="M78" s="463" t="str">
        <v>DNDF [-40C]</v>
      </c>
      <c r="N78" s="462" t="str">
        <v>Mainz</v>
      </c>
      <c r="O78" s="473">
        <v>212</v>
      </c>
      <c r="P78" s="429">
        <v>44927</v>
      </c>
      <c r="Q78" s="429" t="str">
        <v>DESY - CHC</v>
      </c>
      <c r="R78" s="429">
        <v>45139</v>
      </c>
      <c r="S78" s="457" t="str">
        <v>ComSur</v>
      </c>
      <c r="T78" s="458" t="str">
        <v>DESY-CHC</v>
      </c>
      <c r="U78" s="458" t="str">
        <v>-</v>
      </c>
      <c r="V78" s="459" t="str">
        <v>ComSur</v>
      </c>
      <c r="W78" s="460" t="str">
        <v>CHC - MCM</v>
      </c>
      <c r="X78" s="460" t="str">
        <v>-</v>
      </c>
      <c r="Y78" s="435" t="str">
        <v>USAP  Air</v>
      </c>
      <c r="Z78" s="426">
        <v>45231</v>
      </c>
      <c r="AA78" s="435" t="str">
        <v>-</v>
      </c>
      <c r="AB78" s="435" t="str">
        <v>LC-130</v>
      </c>
      <c r="AC78" s="435">
        <v>45306</v>
      </c>
      <c r="AD78" s="462" t="str">
        <v>Yes</v>
      </c>
      <c r="AE78" s="462" t="str">
        <v>FY24 inter</v>
      </c>
      <c r="AF78" s="462" t="str">
        <v>FY24 intra</v>
      </c>
      <c r="AG78" s="435" t="str">
        <v>S. Boeser</v>
      </c>
      <c r="AH78" s="435">
        <v>44482</v>
      </c>
      <c r="AI78" s="435" t="str">
        <v>D. Tosi</v>
      </c>
      <c r="AJ78" s="435">
        <v>44482</v>
      </c>
      <c r="AK78" s="462" t="str">
        <v xml:space="preserve">8 WOMs (no spares) - AH not included for now. Assume 150 lbs crate.  </v>
      </c>
      <c r="AL78" s="451">
        <v>0</v>
      </c>
    </row>
    <row r="79" spans="1:38" ht="68.099999999999994">
      <c r="A79" s="474">
        <v>1.5</v>
      </c>
      <c r="B79" s="475" t="str">
        <v>Installation</v>
      </c>
      <c r="C79" s="465" t="str">
        <v>Calibration Devices 87-88</v>
      </c>
      <c r="D79" s="465" t="str">
        <v>Calibration devices for 2 strings from DESY/Germany/Sweden (4+2 POCAMs, 3+1 Acoustic sensors,  2+1 Swedish Cameras) - Do Not Deep Freeze</v>
      </c>
      <c r="E79" s="449">
        <v>62</v>
      </c>
      <c r="F79" s="449">
        <v>38</v>
      </c>
      <c r="G79" s="449">
        <v>41</v>
      </c>
      <c r="H79" s="441">
        <v>1</v>
      </c>
      <c r="I79" s="436">
        <v>55.900462962962962</v>
      </c>
      <c r="J79" s="436">
        <v>836</v>
      </c>
      <c r="K79" s="441">
        <v>836</v>
      </c>
      <c r="L79" s="485" t="str">
        <v>estimated</v>
      </c>
      <c r="M79" s="476" t="str">
        <v>DNDF [-40C]</v>
      </c>
      <c r="N79" s="462" t="str">
        <v>TUM/Aachen/Sweden</v>
      </c>
      <c r="O79" s="473">
        <v>426</v>
      </c>
      <c r="P79" s="429">
        <v>44713</v>
      </c>
      <c r="Q79" s="429" t="str">
        <v>DESY - CHC</v>
      </c>
      <c r="R79" s="429">
        <v>45139</v>
      </c>
      <c r="S79" s="457" t="str">
        <v>ComSur</v>
      </c>
      <c r="T79" s="458" t="str">
        <v>DESY-CHC</v>
      </c>
      <c r="U79" s="458" t="str">
        <v>-</v>
      </c>
      <c r="V79" s="459" t="str">
        <v>ComSur</v>
      </c>
      <c r="W79" s="460" t="str">
        <v>CHC-MCM</v>
      </c>
      <c r="X79" s="460" t="str">
        <v>-</v>
      </c>
      <c r="Y79" s="435" t="str">
        <v>USAP  Air</v>
      </c>
      <c r="Z79" s="426">
        <v>45231</v>
      </c>
      <c r="AA79" s="435" t="str">
        <v>-</v>
      </c>
      <c r="AB79" s="435" t="str">
        <v>LC-130</v>
      </c>
      <c r="AC79" s="435">
        <v>45306</v>
      </c>
      <c r="AD79" s="462" t="str">
        <v>Yes</v>
      </c>
      <c r="AE79" s="462" t="str">
        <v>FY24 inter</v>
      </c>
      <c r="AF79" s="462" t="str">
        <v>FY24 intra</v>
      </c>
      <c r="AG79" s="435" t="str">
        <v>D. Williams</v>
      </c>
      <c r="AH79" s="435">
        <v>44482</v>
      </c>
      <c r="AI79" s="435" t="str">
        <v>D. Tosi</v>
      </c>
      <c r="AJ79" s="435">
        <v>44482</v>
      </c>
      <c r="AK79" s="462" t="str">
        <v>Calibration devices for strings 87-88 = 2+1 Sweden Camera + 3+1 Acoustic Module + 4+1 POCAM, including spares, 200 lbs crate</v>
      </c>
      <c r="AL79" s="451">
        <v>0</v>
      </c>
    </row>
    <row r="80" spans="1:38" ht="51">
      <c r="A80" s="474">
        <v>1.4</v>
      </c>
      <c r="B80" s="475" t="str">
        <v>Installation</v>
      </c>
      <c r="C80" s="465" t="str">
        <v>FieldHub electronics</v>
      </c>
      <c r="D80" s="465" t="str">
        <v>Required onsite for FY24 installation. 1 crate containing readout electronics for installation in ICL - Do Not Freeze</v>
      </c>
      <c r="E80" s="449">
        <v>48</v>
      </c>
      <c r="F80" s="449">
        <v>48</v>
      </c>
      <c r="G80" s="449">
        <v>36</v>
      </c>
      <c r="H80" s="439">
        <v>1</v>
      </c>
      <c r="I80" s="436">
        <v>48</v>
      </c>
      <c r="J80" s="436">
        <v>275</v>
      </c>
      <c r="K80" s="441">
        <v>275</v>
      </c>
      <c r="L80" s="485" t="str">
        <v>preliminary</v>
      </c>
      <c r="M80" s="476" t="str">
        <v>DNF</v>
      </c>
      <c r="N80" s="462" t="str">
        <v>DESY</v>
      </c>
      <c r="O80" s="473">
        <v>14</v>
      </c>
      <c r="P80" s="429">
        <v>45139</v>
      </c>
      <c r="Q80" s="429" t="str">
        <v>DESY - CHC</v>
      </c>
      <c r="R80" s="429">
        <v>45153</v>
      </c>
      <c r="S80" s="457" t="str">
        <v>ComSur</v>
      </c>
      <c r="T80" s="458" t="str">
        <v>DESY-CHC</v>
      </c>
      <c r="U80" s="458" t="str">
        <v>-</v>
      </c>
      <c r="V80" s="459" t="str">
        <v>ComSur</v>
      </c>
      <c r="W80" s="460" t="str">
        <v>CHC-MCM</v>
      </c>
      <c r="X80" s="460" t="str">
        <v>-</v>
      </c>
      <c r="Y80" s="435" t="str">
        <v>USAP  Air</v>
      </c>
      <c r="Z80" s="426">
        <v>45231</v>
      </c>
      <c r="AA80" s="435" t="str">
        <v>-</v>
      </c>
      <c r="AB80" s="435" t="str">
        <v>LC-130</v>
      </c>
      <c r="AC80" s="435">
        <v>45261</v>
      </c>
      <c r="AD80" s="462" t="str">
        <v>No</v>
      </c>
      <c r="AE80" s="462" t="str">
        <v>FY24 inter</v>
      </c>
      <c r="AF80" s="462" t="str">
        <v>FY24 intra</v>
      </c>
      <c r="AG80" s="435" t="str">
        <v>J. Kelley</v>
      </c>
      <c r="AH80" s="435">
        <v>44482</v>
      </c>
      <c r="AI80" s="435" t="str">
        <v>D. Tosi</v>
      </c>
      <c r="AJ80" s="435">
        <v>44482</v>
      </c>
      <c r="AK80" s="462" t="str">
        <v>Field Hubs are 442mm x 480mm x 133 mm (17.4" x 18.9" x 5.2") and weight maybe 10 lb each.  100 lbs crate. Ready to ship date actually chosen to be 2 weeks ahead of ship date to maximize time with the electronics (sort of backloaded)</v>
      </c>
      <c r="AL80" s="451">
        <v>0</v>
      </c>
    </row>
    <row r="81" spans="1:38" ht="33.950000000000003">
      <c r="A81" s="470">
        <v>1.3</v>
      </c>
      <c r="B81" s="453" t="str">
        <v>Installation</v>
      </c>
      <c r="C81" s="471" t="str">
        <v>String Sensors 87 &amp; 88</v>
      </c>
      <c r="D81" s="472" t="str">
        <v>Sensors (D-Eggs) pallets with 8 sensors  at Pole overwinter - Cryo location - Do Not Deep Freeze</v>
      </c>
      <c r="E81" s="441">
        <v>41</v>
      </c>
      <c r="F81" s="441">
        <v>41</v>
      </c>
      <c r="G81" s="441">
        <v>69</v>
      </c>
      <c r="H81" s="441">
        <v>4</v>
      </c>
      <c r="I81" s="441">
        <v>268.49305555555554</v>
      </c>
      <c r="J81" s="441">
        <v>750</v>
      </c>
      <c r="K81" s="441">
        <v>3000</v>
      </c>
      <c r="L81" s="462" t="str">
        <v>actual</v>
      </c>
      <c r="M81" s="462" t="str">
        <v>DNDF [-40C]</v>
      </c>
      <c r="N81" s="462" t="str">
        <v>Chiba</v>
      </c>
      <c r="O81" s="473">
        <v>426</v>
      </c>
      <c r="P81" s="429">
        <v>44713</v>
      </c>
      <c r="Q81" s="429" t="str">
        <v>ChibaU - CHC</v>
      </c>
      <c r="R81" s="429">
        <v>45139</v>
      </c>
      <c r="S81" s="457" t="str">
        <v>Cargo shipment by CHU</v>
      </c>
      <c r="T81" s="458" t="str">
        <v>ChibaU - CHC</v>
      </c>
      <c r="U81" s="458" t="str">
        <v>-</v>
      </c>
      <c r="V81" s="459" t="str">
        <v>ComSur</v>
      </c>
      <c r="W81" s="460" t="str">
        <v>CHC - MCM</v>
      </c>
      <c r="X81" s="460" t="str">
        <v>-</v>
      </c>
      <c r="Y81" s="88" t="str">
        <v>USAP Air</v>
      </c>
      <c r="Z81" s="426">
        <v>45231</v>
      </c>
      <c r="AA81" s="435" t="str">
        <v>-</v>
      </c>
      <c r="AB81" s="435" t="str">
        <v>LC-130</v>
      </c>
      <c r="AC81" s="435">
        <v>45306</v>
      </c>
      <c r="AD81" s="462" t="str">
        <v>Yes</v>
      </c>
      <c r="AE81" s="462" t="str">
        <v>FY24 inter</v>
      </c>
      <c r="AF81" s="462" t="str">
        <v>FY24 intra</v>
      </c>
      <c r="AG81" s="435" t="str">
        <v>S. Yoshida</v>
      </c>
      <c r="AH81" s="435">
        <v>44461</v>
      </c>
      <c r="AI81" s="435" t="str">
        <v>D. Tosi</v>
      </c>
      <c r="AJ81" s="435">
        <v>44461</v>
      </c>
      <c r="AK81" s="462" t="str">
        <v>Pallet sizes are under review. shipped in 20 and 40ft container. Container weight not included in the assumption that pallet will be taken out in CHC.</v>
      </c>
      <c r="AL81" s="451">
        <v>0</v>
      </c>
    </row>
    <row r="82" spans="1:38" ht="51">
      <c r="A82" s="474">
        <v>1.3</v>
      </c>
      <c r="B82" s="475" t="str">
        <v>Installation</v>
      </c>
      <c r="C82" s="465" t="str">
        <v>String Sensors 87 &amp; 88</v>
      </c>
      <c r="D82" s="465" t="str">
        <v xml:space="preserve">Sensors (D-Eggs) pallets with 8 sensors  at Pole overwinter (SPARES - TBD) - Cryo location - Do Not Deep Freeze </v>
      </c>
      <c r="E82" s="441">
        <v>41</v>
      </c>
      <c r="F82" s="441">
        <v>41</v>
      </c>
      <c r="G82" s="441">
        <v>69</v>
      </c>
      <c r="H82" s="445">
        <v>1</v>
      </c>
      <c r="I82" s="441">
        <v>67.123263888888886</v>
      </c>
      <c r="J82" s="441">
        <v>750</v>
      </c>
      <c r="K82" s="441">
        <v>750</v>
      </c>
      <c r="L82" s="462" t="str">
        <v>actual</v>
      </c>
      <c r="M82" s="476" t="str">
        <v>DNDF [-40C]</v>
      </c>
      <c r="N82" s="462" t="str">
        <v>Chiba</v>
      </c>
      <c r="O82" s="473">
        <v>426</v>
      </c>
      <c r="P82" s="429">
        <v>44713</v>
      </c>
      <c r="Q82" s="429" t="str">
        <v>ChibaU - CHC</v>
      </c>
      <c r="R82" s="429">
        <v>45139</v>
      </c>
      <c r="S82" s="457" t="str">
        <v>Cargo shipment by CHU</v>
      </c>
      <c r="T82" s="458" t="str">
        <v>ChibaU - CHC</v>
      </c>
      <c r="U82" s="458" t="str">
        <v>-</v>
      </c>
      <c r="V82" s="459" t="str">
        <v>ComSur</v>
      </c>
      <c r="W82" s="460" t="str">
        <v>CHC - MCM</v>
      </c>
      <c r="X82" s="460" t="str">
        <v>-</v>
      </c>
      <c r="Y82" s="88" t="str">
        <v>USAP Air</v>
      </c>
      <c r="Z82" s="426">
        <v>45231</v>
      </c>
      <c r="AA82" s="435" t="str">
        <v>-</v>
      </c>
      <c r="AB82" s="435" t="str">
        <v>LC-130</v>
      </c>
      <c r="AC82" s="435">
        <v>45306</v>
      </c>
      <c r="AD82" s="462" t="str">
        <v>Yes</v>
      </c>
      <c r="AE82" s="462" t="str">
        <v>FY24 inter</v>
      </c>
      <c r="AF82" s="462" t="str">
        <v>FY24 intra</v>
      </c>
      <c r="AG82" s="435" t="str">
        <v>S. Yoshida</v>
      </c>
      <c r="AH82" s="435">
        <v>44461</v>
      </c>
      <c r="AI82" s="435" t="str">
        <v>D. Tosi</v>
      </c>
      <c r="AJ82" s="435">
        <v>44461</v>
      </c>
      <c r="AK82" s="462" t="str">
        <v>Pallet sizes are under review. SPARES number to be confirmed.  shipped in 20 and 40ft container. Container weight not included in the assumption that pallet will be taken out in CHC.</v>
      </c>
      <c r="AL82" s="451">
        <v>0</v>
      </c>
    </row>
    <row r="83" spans="1:38" ht="33.950000000000003">
      <c r="A83" s="477">
        <v>1.3</v>
      </c>
      <c r="B83" s="475" t="str">
        <v>Installation</v>
      </c>
      <c r="C83" s="472" t="str">
        <v>String Sensors 87 &amp; 88</v>
      </c>
      <c r="D83" s="472" t="str">
        <v>Sensors (D-Eggs) pallets with 12 sensors  at Pole overwinter - Cryo location - Do Not Deep Freeze</v>
      </c>
      <c r="E83" s="445">
        <v>60</v>
      </c>
      <c r="F83" s="445">
        <v>41</v>
      </c>
      <c r="G83" s="445">
        <v>69</v>
      </c>
      <c r="H83" s="445">
        <v>4</v>
      </c>
      <c r="I83" s="441">
        <v>392.91666666666669</v>
      </c>
      <c r="J83" s="441">
        <v>1102</v>
      </c>
      <c r="K83" s="441">
        <v>4408</v>
      </c>
      <c r="L83" s="462" t="str">
        <v>actual</v>
      </c>
      <c r="M83" s="463" t="str">
        <v>DNDF [-40C]</v>
      </c>
      <c r="N83" s="462" t="str">
        <v>Chiba</v>
      </c>
      <c r="O83" s="473">
        <v>426</v>
      </c>
      <c r="P83" s="429">
        <v>44713</v>
      </c>
      <c r="Q83" s="429" t="str">
        <v>ChibaU - CHC</v>
      </c>
      <c r="R83" s="429">
        <v>45139</v>
      </c>
      <c r="S83" s="457" t="str">
        <v>Cargo shipment by CHU</v>
      </c>
      <c r="T83" s="458" t="str">
        <v>ChibaU - CHC</v>
      </c>
      <c r="U83" s="458" t="str">
        <v>-</v>
      </c>
      <c r="V83" s="459" t="str">
        <v>ComSur</v>
      </c>
      <c r="W83" s="460" t="str">
        <v>CHC - MCM</v>
      </c>
      <c r="X83" s="460" t="str">
        <v>-</v>
      </c>
      <c r="Y83" s="88" t="str">
        <v>USAP Air</v>
      </c>
      <c r="Z83" s="426">
        <v>45231</v>
      </c>
      <c r="AA83" s="435" t="str">
        <v>-</v>
      </c>
      <c r="AB83" s="435" t="str">
        <v>LC-130</v>
      </c>
      <c r="AC83" s="435">
        <v>45306</v>
      </c>
      <c r="AD83" s="462" t="str">
        <v>Yes</v>
      </c>
      <c r="AE83" s="462" t="str">
        <v>FY24 inter</v>
      </c>
      <c r="AF83" s="462" t="str">
        <v>FY24 intra</v>
      </c>
      <c r="AG83" s="435" t="str">
        <v>S. Yoshida</v>
      </c>
      <c r="AH83" s="435">
        <v>44461</v>
      </c>
      <c r="AI83" s="435" t="str">
        <v>D. Tosi</v>
      </c>
      <c r="AJ83" s="435">
        <v>44461</v>
      </c>
      <c r="AK83" s="462" t="str">
        <v>Pallet sizes are under review. shipped in 20 and 40ft container. Container weight not included in the assumption that pallet will be taken out in CHC.</v>
      </c>
      <c r="AL83" s="451">
        <v>0</v>
      </c>
    </row>
    <row r="84" spans="1:38" ht="51">
      <c r="A84" s="470">
        <v>1.3</v>
      </c>
      <c r="B84" s="453" t="str">
        <v>Installation</v>
      </c>
      <c r="C84" s="471" t="str">
        <v>String Sensors 87 &amp; 88</v>
      </c>
      <c r="D84" s="471" t="str">
        <v>Sensors (D-Eggs) pallets with 12 sensors  at Pole overwinter (SPARES - TBD)- Cryo location - Do Not Deep Freeze</v>
      </c>
      <c r="E84" s="441">
        <v>60</v>
      </c>
      <c r="F84" s="441">
        <v>41</v>
      </c>
      <c r="G84" s="441">
        <v>69</v>
      </c>
      <c r="H84" s="441">
        <v>1</v>
      </c>
      <c r="I84" s="441">
        <v>98.229166666666671</v>
      </c>
      <c r="J84" s="441">
        <v>1102</v>
      </c>
      <c r="K84" s="441">
        <v>1102</v>
      </c>
      <c r="L84" s="462" t="str">
        <v>actual</v>
      </c>
      <c r="M84" s="462" t="str">
        <v>DNDF [-40C]</v>
      </c>
      <c r="N84" s="462" t="str">
        <v>Chiba</v>
      </c>
      <c r="O84" s="473">
        <v>426</v>
      </c>
      <c r="P84" s="429">
        <v>44713</v>
      </c>
      <c r="Q84" s="429" t="str">
        <v>ChibaU - CHC</v>
      </c>
      <c r="R84" s="429">
        <v>45139</v>
      </c>
      <c r="S84" s="457" t="str">
        <v>Cargo shipment by CHU</v>
      </c>
      <c r="T84" s="458" t="str">
        <v>ChibaU - CHC</v>
      </c>
      <c r="U84" s="458" t="str">
        <v>-</v>
      </c>
      <c r="V84" s="459" t="str">
        <v>ComSur</v>
      </c>
      <c r="W84" s="460" t="str">
        <v>CHC - MCM</v>
      </c>
      <c r="X84" s="460" t="str">
        <v>-</v>
      </c>
      <c r="Y84" s="88" t="str">
        <v>USAP Air</v>
      </c>
      <c r="Z84" s="426">
        <v>45231</v>
      </c>
      <c r="AA84" s="435" t="str">
        <v>-</v>
      </c>
      <c r="AB84" s="435" t="str">
        <v>LC-130</v>
      </c>
      <c r="AC84" s="435">
        <v>45306</v>
      </c>
      <c r="AD84" s="462" t="str">
        <v>Yes</v>
      </c>
      <c r="AE84" s="462" t="str">
        <v>FY24 inter</v>
      </c>
      <c r="AF84" s="462" t="str">
        <v>FY24 intra</v>
      </c>
      <c r="AG84" s="435" t="str">
        <v>S. Yoshida</v>
      </c>
      <c r="AH84" s="435">
        <v>44461</v>
      </c>
      <c r="AI84" s="435" t="str">
        <v>D. Tosi</v>
      </c>
      <c r="AJ84" s="435">
        <v>44461</v>
      </c>
      <c r="AK84" s="462" t="str">
        <v>Pallet sizes are under review. SPARES number to be confirmed. shipped in 20 and 40ft container. Container weight not included in the assumption that pallet will be taken out in CHC.</v>
      </c>
      <c r="AL84" s="451">
        <v>0</v>
      </c>
    </row>
    <row r="85" spans="1:38" ht="33.950000000000003">
      <c r="A85" s="470">
        <v>1.2</v>
      </c>
      <c r="B85" s="453">
        <v>0</v>
      </c>
      <c r="C85" s="471" t="str">
        <v>Field Season 2 Fuel</v>
      </c>
      <c r="D85" s="471" t="str">
        <v>Fuel to support FY24 field season - Base fuel, firn drilling &amp; over winter heating</v>
      </c>
      <c r="E85" s="441">
        <v>0</v>
      </c>
      <c r="F85" s="441">
        <v>0</v>
      </c>
      <c r="G85" s="441">
        <v>0</v>
      </c>
      <c r="H85" s="441">
        <v>18178</v>
      </c>
      <c r="I85" s="441">
        <v>2430.0449701357657</v>
      </c>
      <c r="J85" s="441">
        <v>6.8</v>
      </c>
      <c r="K85" s="441">
        <v>123610.4</v>
      </c>
      <c r="L85" s="462" t="str">
        <v>preliminary</v>
      </c>
      <c r="M85" s="462">
        <v>0</v>
      </c>
      <c r="N85" s="462">
        <v>0</v>
      </c>
      <c r="O85" s="473">
        <v>0</v>
      </c>
      <c r="P85" s="429" t="str">
        <v>-</v>
      </c>
      <c r="Q85" s="429" t="str">
        <v>-</v>
      </c>
      <c r="R85" s="429" t="str">
        <v>-</v>
      </c>
      <c r="S85" s="457" t="str">
        <v>-</v>
      </c>
      <c r="T85" s="458" t="str">
        <v>-</v>
      </c>
      <c r="U85" s="458" t="str">
        <v>-</v>
      </c>
      <c r="V85" s="459" t="str">
        <v>-</v>
      </c>
      <c r="W85" s="460" t="str">
        <v>-</v>
      </c>
      <c r="X85" s="460" t="str">
        <v>-</v>
      </c>
      <c r="Y85" s="88" t="str">
        <v>-</v>
      </c>
      <c r="Z85" s="426">
        <v>45231</v>
      </c>
      <c r="AA85" s="435" t="str">
        <v>-</v>
      </c>
      <c r="AB85" s="435" t="str">
        <v>LC-130/SPoT</v>
      </c>
      <c r="AC85" s="435">
        <v>45261</v>
      </c>
      <c r="AD85" s="462" t="str">
        <v>Yes</v>
      </c>
      <c r="AE85" s="462" t="str">
        <v>FY24 inter</v>
      </c>
      <c r="AF85" s="462" t="str">
        <v>FY24 intra</v>
      </c>
      <c r="AG85" s="435" t="str">
        <v>T. Benson</v>
      </c>
      <c r="AH85" s="435">
        <v>44483</v>
      </c>
      <c r="AI85" s="435" t="str">
        <v>I. McEwen</v>
      </c>
      <c r="AJ85" s="435">
        <v>44483</v>
      </c>
      <c r="AK85" s="462">
        <v>0</v>
      </c>
      <c r="AL85" s="451">
        <v>0</v>
      </c>
    </row>
    <row r="86" spans="1:38" ht="17.100000000000001">
      <c r="A86" s="477">
        <v>1.2</v>
      </c>
      <c r="B86" s="475">
        <v>0</v>
      </c>
      <c r="C86" s="472" t="str">
        <v>Field Season 2 Fuel Contingency</v>
      </c>
      <c r="D86" s="472" t="str">
        <v>Fuel to suppport FY24 field season - Contingency</v>
      </c>
      <c r="E86" s="445">
        <v>0</v>
      </c>
      <c r="F86" s="445">
        <v>0</v>
      </c>
      <c r="G86" s="445">
        <v>0</v>
      </c>
      <c r="H86" s="445">
        <v>2373</v>
      </c>
      <c r="I86" s="441">
        <v>317.22393630389331</v>
      </c>
      <c r="J86" s="441">
        <v>6.8</v>
      </c>
      <c r="K86" s="441">
        <v>16136.4</v>
      </c>
      <c r="L86" s="462" t="str">
        <v>preliminary</v>
      </c>
      <c r="M86" s="463">
        <v>0</v>
      </c>
      <c r="N86" s="462">
        <v>0</v>
      </c>
      <c r="O86" s="473">
        <v>0</v>
      </c>
      <c r="P86" s="429" t="str">
        <v>-</v>
      </c>
      <c r="Q86" s="429" t="str">
        <v>-</v>
      </c>
      <c r="R86" s="429" t="str">
        <v>-</v>
      </c>
      <c r="S86" s="457" t="str">
        <v>-</v>
      </c>
      <c r="T86" s="458" t="str">
        <v>-</v>
      </c>
      <c r="U86" s="458" t="str">
        <v>-</v>
      </c>
      <c r="V86" s="459" t="str">
        <v>-</v>
      </c>
      <c r="W86" s="460" t="str">
        <v>-</v>
      </c>
      <c r="X86" s="460" t="str">
        <v>-</v>
      </c>
      <c r="Y86" s="88" t="str">
        <v>-</v>
      </c>
      <c r="Z86" s="426">
        <v>45231</v>
      </c>
      <c r="AA86" s="435" t="str">
        <v>-</v>
      </c>
      <c r="AB86" s="435" t="str">
        <v>LC-130/SPoT</v>
      </c>
      <c r="AC86" s="435">
        <v>45261</v>
      </c>
      <c r="AD86" s="462" t="str">
        <v>Yes</v>
      </c>
      <c r="AE86" s="462" t="str">
        <v>FY24 inter</v>
      </c>
      <c r="AF86" s="462" t="str">
        <v>FY24 intra</v>
      </c>
      <c r="AG86" s="435" t="str">
        <v>T. Benson</v>
      </c>
      <c r="AH86" s="435">
        <v>44483</v>
      </c>
      <c r="AI86" s="435" t="str">
        <v>I. McEwen</v>
      </c>
      <c r="AJ86" s="435">
        <v>44483</v>
      </c>
      <c r="AK86" s="462">
        <v>0</v>
      </c>
      <c r="AL86" s="451">
        <v>0</v>
      </c>
    </row>
    <row r="87" spans="1:38">
      <c r="A87" s="466"/>
      <c r="B87" s="451"/>
      <c r="C87" s="451"/>
      <c r="D87" s="451"/>
      <c r="E87" s="467"/>
      <c r="F87" s="467"/>
      <c r="G87" s="467"/>
      <c r="H87" s="467"/>
      <c r="I87" s="136">
        <f>SUBTOTAL(9,I58:I86)</f>
        <v>11847.210457365582</v>
      </c>
      <c r="J87" s="136"/>
      <c r="K87" s="136">
        <f t="shared" ref="K87" si="3">SUBTOTAL(9,K58:K86)</f>
        <v>319116.80000000005</v>
      </c>
      <c r="L87" s="451"/>
      <c r="M87" s="451"/>
      <c r="N87" s="451"/>
      <c r="O87" s="468"/>
      <c r="P87" s="469"/>
      <c r="Q87" s="469"/>
      <c r="R87" s="469"/>
      <c r="S87" s="451"/>
      <c r="T87" s="469"/>
      <c r="U87" s="469"/>
      <c r="V87" s="451"/>
      <c r="W87" s="469"/>
      <c r="X87" s="469"/>
      <c r="Y87" s="469"/>
      <c r="Z87" s="469"/>
      <c r="AA87" s="469"/>
      <c r="AB87" s="469"/>
      <c r="AC87" s="469"/>
      <c r="AD87" s="451"/>
      <c r="AE87" s="451"/>
      <c r="AF87" s="451"/>
      <c r="AG87" s="469"/>
      <c r="AH87" s="469"/>
      <c r="AI87" s="469"/>
      <c r="AJ87" s="469"/>
      <c r="AK87" s="451"/>
      <c r="AL87" s="451"/>
    </row>
    <row r="91" spans="1:38" ht="18.95">
      <c r="A91" s="252" t="s">
        <v>431</v>
      </c>
      <c r="B91" s="221" t="s">
        <v>348</v>
      </c>
      <c r="C91" s="222"/>
      <c r="D91" s="222"/>
      <c r="E91" s="224"/>
      <c r="F91" s="224"/>
      <c r="G91" s="224"/>
      <c r="H91" s="224"/>
      <c r="I91" s="224"/>
      <c r="J91" s="224"/>
      <c r="K91" s="224"/>
      <c r="L91" s="222"/>
      <c r="M91" s="222"/>
      <c r="N91" s="222"/>
      <c r="O91" s="396"/>
      <c r="P91" s="226"/>
      <c r="Q91" s="226"/>
      <c r="R91" s="226"/>
      <c r="S91" s="222"/>
      <c r="T91" s="226"/>
      <c r="U91" s="226"/>
      <c r="V91" s="222"/>
      <c r="W91" s="226"/>
      <c r="X91" s="226"/>
      <c r="Y91" s="226"/>
      <c r="Z91" s="226"/>
      <c r="AA91" s="226"/>
      <c r="AB91" s="226"/>
      <c r="AC91" s="226"/>
      <c r="AD91" s="222"/>
      <c r="AE91" s="222"/>
      <c r="AF91" s="222"/>
      <c r="AG91" s="226"/>
      <c r="AH91" s="222"/>
      <c r="AI91" s="222"/>
      <c r="AJ91" s="222"/>
      <c r="AK91" s="226"/>
      <c r="AL91" s="451"/>
    </row>
    <row r="92" spans="1:38" ht="33.950000000000003">
      <c r="A92" s="470" cm="1">
        <f t="array" ref="A92:AL134">_xlfn._xlws.FILTER(cargo_table, intra_shipping_label=B91)</f>
        <v>1.2</v>
      </c>
      <c r="B92" s="453" t="str">
        <v>Drill</v>
      </c>
      <c r="C92" s="454" t="str">
        <v>Gen 1 - housed in 20' container</v>
      </c>
      <c r="D92" s="471" t="str">
        <v>Power generation unit 1 housed in 20' shipping container</v>
      </c>
      <c r="E92" s="441">
        <v>240</v>
      </c>
      <c r="F92" s="441">
        <v>96</v>
      </c>
      <c r="G92" s="441">
        <v>102</v>
      </c>
      <c r="H92" s="441">
        <v>1</v>
      </c>
      <c r="I92" s="442">
        <v>1360</v>
      </c>
      <c r="J92" s="442">
        <v>22000</v>
      </c>
      <c r="K92" s="441">
        <v>22000</v>
      </c>
      <c r="L92" s="455" t="str">
        <v>actual</v>
      </c>
      <c r="M92" s="462">
        <v>0</v>
      </c>
      <c r="N92" s="462" t="str">
        <v xml:space="preserve"> U. Wisc. Madison</v>
      </c>
      <c r="O92" s="473" t="str">
        <v>In McMurdo</v>
      </c>
      <c r="P92" s="429">
        <v>43867</v>
      </c>
      <c r="Q92" s="113" t="str">
        <v>In McMurdo</v>
      </c>
      <c r="R92" s="429" t="str">
        <v>-</v>
      </c>
      <c r="S92" s="457" t="str">
        <v>-</v>
      </c>
      <c r="T92" s="458" t="str">
        <v>In McMurdo</v>
      </c>
      <c r="U92" s="458" t="str">
        <v>-</v>
      </c>
      <c r="V92" s="459" t="str">
        <v>-</v>
      </c>
      <c r="W92" s="460" t="str">
        <v>In McMurdo</v>
      </c>
      <c r="X92" s="460" t="str">
        <v>-</v>
      </c>
      <c r="Y92" s="461" t="str">
        <v>-</v>
      </c>
      <c r="Z92" s="426" t="str">
        <v>In McMurdo</v>
      </c>
      <c r="AA92" s="435" t="str">
        <v>-</v>
      </c>
      <c r="AB92" s="435" t="str">
        <v>SPoT</v>
      </c>
      <c r="AC92" s="435">
        <v>45261</v>
      </c>
      <c r="AD92" s="462" t="str">
        <v>Yes</v>
      </c>
      <c r="AE92" s="462" t="str">
        <v>In McMurdo</v>
      </c>
      <c r="AF92" s="463" t="str">
        <v>FY24 intra</v>
      </c>
      <c r="AG92" s="464" t="str">
        <v>D. Gibson</v>
      </c>
      <c r="AH92" s="464">
        <v>44475</v>
      </c>
      <c r="AI92" s="464" t="str">
        <v>I. McEwen</v>
      </c>
      <c r="AJ92" s="435">
        <v>44475</v>
      </c>
      <c r="AK92" s="462" t="str">
        <v>Will require crane for onload/offload  - use belly band to support container sidewalls during lift.</v>
      </c>
      <c r="AL92" s="451">
        <v>0</v>
      </c>
    </row>
    <row r="93" spans="1:38" ht="33.950000000000003">
      <c r="A93" s="478">
        <v>1.2</v>
      </c>
      <c r="B93" s="479" t="str">
        <v>Drill</v>
      </c>
      <c r="C93" s="480" t="str">
        <v>Gen hoods Discharge Hoods - currently staged in McMurdo</v>
      </c>
      <c r="D93" s="481" t="str">
        <v>Generator air discharge hoods , sheet metal, loose - stored on berm at SPOTSA</v>
      </c>
      <c r="E93" s="482">
        <v>108</v>
      </c>
      <c r="F93" s="482">
        <v>53</v>
      </c>
      <c r="G93" s="482">
        <v>60</v>
      </c>
      <c r="H93" s="445">
        <v>2</v>
      </c>
      <c r="I93" s="442">
        <v>397.5</v>
      </c>
      <c r="J93" s="442">
        <v>330</v>
      </c>
      <c r="K93" s="441">
        <v>660</v>
      </c>
      <c r="L93" s="483" t="str">
        <v>actual</v>
      </c>
      <c r="M93" s="484">
        <v>0</v>
      </c>
      <c r="N93" s="462" t="str">
        <v xml:space="preserve"> U. Wisc. Madison</v>
      </c>
      <c r="O93" s="473" t="str">
        <v>In McMurdo</v>
      </c>
      <c r="P93" s="429">
        <v>43814</v>
      </c>
      <c r="Q93" s="429" t="str">
        <v>In McMurdo</v>
      </c>
      <c r="R93" s="429">
        <v>0</v>
      </c>
      <c r="S93" s="457">
        <v>0</v>
      </c>
      <c r="T93" s="458" t="str">
        <v>In McMurdo</v>
      </c>
      <c r="U93" s="458" t="str">
        <v>-</v>
      </c>
      <c r="V93" s="459" t="str">
        <v>-</v>
      </c>
      <c r="W93" s="460" t="str">
        <v>In McMurdo</v>
      </c>
      <c r="X93" s="460" t="str">
        <v>-</v>
      </c>
      <c r="Y93" s="435" t="str">
        <v>-</v>
      </c>
      <c r="Z93" s="426" t="str">
        <v>In McMurdo</v>
      </c>
      <c r="AA93" s="435" t="str">
        <v>-</v>
      </c>
      <c r="AB93" s="435" t="str">
        <v>LC-130/SPoT</v>
      </c>
      <c r="AC93" s="435">
        <v>45292</v>
      </c>
      <c r="AD93" s="462" t="str">
        <v>No</v>
      </c>
      <c r="AE93" s="462" t="str">
        <v>In McMurdo</v>
      </c>
      <c r="AF93" s="462" t="str">
        <v>FY24 intra</v>
      </c>
      <c r="AG93" s="435" t="str">
        <v>D. Gibson</v>
      </c>
      <c r="AH93" s="435">
        <v>44477</v>
      </c>
      <c r="AI93" s="435" t="str">
        <v>I. McEwen</v>
      </c>
      <c r="AJ93" s="435">
        <v>44477</v>
      </c>
      <c r="AK93" s="462" t="str">
        <v>Testing/limited operation of Gens can be accomplished without hoods - Hoods required for the drill season</v>
      </c>
      <c r="AL93" s="451">
        <v>0</v>
      </c>
    </row>
    <row r="94" spans="1:38" ht="33.950000000000003">
      <c r="A94" s="478">
        <v>1.2</v>
      </c>
      <c r="B94" s="479" t="str">
        <v>Drill</v>
      </c>
      <c r="C94" s="480" t="str">
        <v>Firn Drill</v>
      </c>
      <c r="D94" s="465" t="str">
        <v xml:space="preserve">Bermed in McM - will require McM fork or crane support. </v>
      </c>
      <c r="E94" s="482">
        <v>264</v>
      </c>
      <c r="F94" s="482">
        <v>94</v>
      </c>
      <c r="G94" s="482">
        <v>97</v>
      </c>
      <c r="H94" s="445">
        <v>1</v>
      </c>
      <c r="I94" s="442">
        <v>1393.0277777777778</v>
      </c>
      <c r="J94" s="442">
        <v>12000</v>
      </c>
      <c r="K94" s="441">
        <v>12000</v>
      </c>
      <c r="L94" s="483" t="str">
        <v>actual</v>
      </c>
      <c r="M94" s="484">
        <v>0</v>
      </c>
      <c r="N94" s="462" t="str">
        <v xml:space="preserve"> U. Wisc. Madison</v>
      </c>
      <c r="O94" s="473" t="str">
        <v>In McMurdo</v>
      </c>
      <c r="P94" s="429">
        <v>43845</v>
      </c>
      <c r="Q94" s="429" t="str">
        <v>In McMurdo</v>
      </c>
      <c r="R94" s="429">
        <v>0</v>
      </c>
      <c r="S94" s="457">
        <v>0</v>
      </c>
      <c r="T94" s="458" t="str">
        <v>In McMurdo</v>
      </c>
      <c r="U94" s="458" t="str">
        <v>-</v>
      </c>
      <c r="V94" s="459" t="str">
        <v>-</v>
      </c>
      <c r="W94" s="460" t="str">
        <v>In McMurdo</v>
      </c>
      <c r="X94" s="460" t="str">
        <v>-</v>
      </c>
      <c r="Y94" s="435" t="str">
        <v>-</v>
      </c>
      <c r="Z94" s="426" t="str">
        <v>In McMurdo</v>
      </c>
      <c r="AA94" s="435" t="str">
        <v>-</v>
      </c>
      <c r="AB94" s="435" t="str">
        <v>LC-130/SPoT</v>
      </c>
      <c r="AC94" s="435">
        <v>45261</v>
      </c>
      <c r="AD94" s="462" t="str">
        <v>Yes</v>
      </c>
      <c r="AE94" s="462" t="str">
        <v>In McMurdo</v>
      </c>
      <c r="AF94" s="462" t="str">
        <v>FY24 intra</v>
      </c>
      <c r="AG94" s="435" t="str">
        <v>D. Gibson</v>
      </c>
      <c r="AH94" s="435">
        <v>44477</v>
      </c>
      <c r="AI94" s="435" t="str">
        <v>I. McEwen</v>
      </c>
      <c r="AJ94" s="435">
        <v>44477</v>
      </c>
      <c r="AK94" s="462" t="str">
        <v>Bermed in McMurdo - SPOTSA</v>
      </c>
      <c r="AL94" s="451">
        <v>0</v>
      </c>
    </row>
    <row r="95" spans="1:38" ht="33.950000000000003">
      <c r="A95" s="470">
        <v>1.2</v>
      </c>
      <c r="B95" s="453" t="str">
        <v>Drill</v>
      </c>
      <c r="C95" s="471" t="str">
        <v>Firn Drill Components - 1</v>
      </c>
      <c r="D95" s="471" t="str">
        <v xml:space="preserve">Firn drill sheave. Required Field Season 2 for final refit &amp; functional testing </v>
      </c>
      <c r="E95" s="441">
        <v>97</v>
      </c>
      <c r="F95" s="441">
        <v>44</v>
      </c>
      <c r="G95" s="441">
        <v>63</v>
      </c>
      <c r="H95" s="441">
        <v>1</v>
      </c>
      <c r="I95" s="442">
        <v>155.60416666666666</v>
      </c>
      <c r="J95" s="442">
        <v>920</v>
      </c>
      <c r="K95" s="441">
        <v>920</v>
      </c>
      <c r="L95" s="462" t="str">
        <v>actual</v>
      </c>
      <c r="M95" s="462">
        <v>0</v>
      </c>
      <c r="N95" s="462" t="str">
        <v xml:space="preserve"> U. Wisc. Madison</v>
      </c>
      <c r="O95" s="473" t="str">
        <v>In McMurdo</v>
      </c>
      <c r="P95" s="429">
        <v>43845</v>
      </c>
      <c r="Q95" s="429" t="str">
        <v>In McMurdo</v>
      </c>
      <c r="R95" s="429" t="str">
        <v>-</v>
      </c>
      <c r="S95" s="457" t="str">
        <v>-</v>
      </c>
      <c r="T95" s="458" t="str">
        <v>In McMurdo</v>
      </c>
      <c r="U95" s="458" t="str">
        <v>-</v>
      </c>
      <c r="V95" s="459" t="str">
        <v>-</v>
      </c>
      <c r="W95" s="460" t="str">
        <v>In McMurdo</v>
      </c>
      <c r="X95" s="460" t="str">
        <v>-</v>
      </c>
      <c r="Y95" s="461" t="str">
        <v>-</v>
      </c>
      <c r="Z95" s="426" t="str">
        <v>In McMurdo</v>
      </c>
      <c r="AA95" s="435" t="str">
        <v>-</v>
      </c>
      <c r="AB95" s="435" t="str">
        <v>LC-130/SPoT</v>
      </c>
      <c r="AC95" s="435">
        <v>45261</v>
      </c>
      <c r="AD95" s="462" t="str">
        <v>Yes</v>
      </c>
      <c r="AE95" s="462" t="str">
        <v>In McMurdo</v>
      </c>
      <c r="AF95" s="462" t="str">
        <v>FY24 intra</v>
      </c>
      <c r="AG95" s="435" t="str">
        <v>D. Gibson</v>
      </c>
      <c r="AH95" s="435">
        <v>44477</v>
      </c>
      <c r="AI95" s="435" t="str">
        <v>I. McEwen</v>
      </c>
      <c r="AJ95" s="435">
        <v>44477</v>
      </c>
      <c r="AK95" s="462">
        <v>0</v>
      </c>
      <c r="AL95" s="451">
        <v>0</v>
      </c>
    </row>
    <row r="96" spans="1:38" ht="33.950000000000003">
      <c r="A96" s="477">
        <v>1.2</v>
      </c>
      <c r="B96" s="475" t="str">
        <v>Drill</v>
      </c>
      <c r="C96" s="472" t="str">
        <v>Firn Drill Components - 2</v>
      </c>
      <c r="D96" s="472" t="str">
        <v xml:space="preserve">Firn drill drillhead. Required Field Season 2 for final refit &amp; functional testing </v>
      </c>
      <c r="E96" s="441">
        <v>125</v>
      </c>
      <c r="F96" s="441">
        <v>33</v>
      </c>
      <c r="G96" s="441">
        <v>37</v>
      </c>
      <c r="H96" s="445">
        <v>1</v>
      </c>
      <c r="I96" s="442">
        <v>88.324652777777771</v>
      </c>
      <c r="J96" s="442">
        <v>1048</v>
      </c>
      <c r="K96" s="441">
        <v>1048</v>
      </c>
      <c r="L96" s="485" t="str">
        <v>actual</v>
      </c>
      <c r="M96" s="463">
        <v>0</v>
      </c>
      <c r="N96" s="462" t="str">
        <v xml:space="preserve"> U. Wisc. Madison</v>
      </c>
      <c r="O96" s="473" t="str">
        <v>In McMurdo</v>
      </c>
      <c r="P96" s="429">
        <v>43845</v>
      </c>
      <c r="Q96" s="429" t="str">
        <v>In McMurdo</v>
      </c>
      <c r="R96" s="429" t="str">
        <v>-</v>
      </c>
      <c r="S96" s="457" t="str">
        <v>-</v>
      </c>
      <c r="T96" s="458" t="str">
        <v>In McMurdo</v>
      </c>
      <c r="U96" s="458" t="str">
        <v>-</v>
      </c>
      <c r="V96" s="459" t="str">
        <v>-</v>
      </c>
      <c r="W96" s="460" t="str">
        <v>In McMurdo</v>
      </c>
      <c r="X96" s="460" t="str">
        <v>-</v>
      </c>
      <c r="Y96" s="435" t="str">
        <v>-</v>
      </c>
      <c r="Z96" s="426" t="str">
        <v>In McMurdo</v>
      </c>
      <c r="AA96" s="435" t="str">
        <v>-</v>
      </c>
      <c r="AB96" s="435" t="str">
        <v>LC-130/SPoT</v>
      </c>
      <c r="AC96" s="435">
        <v>45261</v>
      </c>
      <c r="AD96" s="462" t="str">
        <v>Yes</v>
      </c>
      <c r="AE96" s="462" t="str">
        <v>In McMurdo</v>
      </c>
      <c r="AF96" s="462" t="str">
        <v>FY24 intra</v>
      </c>
      <c r="AG96" s="435" t="str">
        <v>D. Gibson</v>
      </c>
      <c r="AH96" s="435">
        <v>44477</v>
      </c>
      <c r="AI96" s="435" t="str">
        <v>I. McEwen</v>
      </c>
      <c r="AJ96" s="435">
        <v>44477</v>
      </c>
      <c r="AK96" s="462">
        <v>0</v>
      </c>
      <c r="AL96" s="451">
        <v>0</v>
      </c>
    </row>
    <row r="97" spans="1:38" ht="51">
      <c r="A97" s="477">
        <v>1.2</v>
      </c>
      <c r="B97" s="475" t="str">
        <v>Drill</v>
      </c>
      <c r="C97" s="472" t="str">
        <v>Weight stack and crates</v>
      </c>
      <c r="D97" s="472" t="str">
        <v>Bermed in McM - will require McM fork support. Drill head weight stack and remaining bermed crates at SPoTSA</v>
      </c>
      <c r="E97" s="441">
        <v>120</v>
      </c>
      <c r="F97" s="441">
        <v>48</v>
      </c>
      <c r="G97" s="441">
        <v>48</v>
      </c>
      <c r="H97" s="445">
        <v>1</v>
      </c>
      <c r="I97" s="442">
        <v>160</v>
      </c>
      <c r="J97" s="442">
        <v>600</v>
      </c>
      <c r="K97" s="441">
        <v>600</v>
      </c>
      <c r="L97" s="485" t="str">
        <v>actual</v>
      </c>
      <c r="M97" s="463">
        <v>0</v>
      </c>
      <c r="N97" s="462" t="str">
        <v xml:space="preserve"> U. Wisc. Madison</v>
      </c>
      <c r="O97" s="473" t="str">
        <v>In McMurdo</v>
      </c>
      <c r="P97" s="429">
        <v>43845</v>
      </c>
      <c r="Q97" s="429" t="str">
        <v>In McMurdo</v>
      </c>
      <c r="R97" s="429">
        <v>0</v>
      </c>
      <c r="S97" s="457">
        <v>0</v>
      </c>
      <c r="T97" s="458" t="str">
        <v>In McMurdo</v>
      </c>
      <c r="U97" s="458" t="str">
        <v>-</v>
      </c>
      <c r="V97" s="459" t="str">
        <v>-</v>
      </c>
      <c r="W97" s="460" t="str">
        <v>In McMurdo</v>
      </c>
      <c r="X97" s="460" t="str">
        <v>-</v>
      </c>
      <c r="Y97" s="435" t="str">
        <v>-</v>
      </c>
      <c r="Z97" s="426" t="str">
        <v>In McMurdo</v>
      </c>
      <c r="AA97" s="435" t="str">
        <v>-</v>
      </c>
      <c r="AB97" s="435" t="str">
        <v>LC-130/SPoT</v>
      </c>
      <c r="AC97" s="435">
        <v>45275</v>
      </c>
      <c r="AD97" s="462" t="str">
        <v>No</v>
      </c>
      <c r="AE97" s="462" t="str">
        <v>In McMurdo</v>
      </c>
      <c r="AF97" s="462" t="str">
        <v>FY24 intra</v>
      </c>
      <c r="AG97" s="435" t="str">
        <v>D. Gibson</v>
      </c>
      <c r="AH97" s="435">
        <v>44477</v>
      </c>
      <c r="AI97" s="435" t="str">
        <v>I. McEwen</v>
      </c>
      <c r="AJ97" s="435">
        <v>44477</v>
      </c>
      <c r="AK97" s="462" t="str">
        <v>Bermed in McMurdo - SPOTSA on UNL flatrack</v>
      </c>
      <c r="AL97" s="451">
        <v>0</v>
      </c>
    </row>
    <row r="98" spans="1:38" ht="33.950000000000003">
      <c r="A98" s="477">
        <v>1.2</v>
      </c>
      <c r="B98" s="475" t="str">
        <v>Drill</v>
      </c>
      <c r="C98" s="472" t="str">
        <v>HPU 1</v>
      </c>
      <c r="D98" s="472" t="str">
        <v>HPU 1 (University of Nebraska - Lincoln asset) - 40' container housing heating plant on ISO sled</v>
      </c>
      <c r="E98" s="445">
        <v>480</v>
      </c>
      <c r="F98" s="445">
        <v>96</v>
      </c>
      <c r="G98" s="445">
        <v>102</v>
      </c>
      <c r="H98" s="445">
        <v>1</v>
      </c>
      <c r="I98" s="442">
        <v>2720</v>
      </c>
      <c r="J98" s="442">
        <v>28000</v>
      </c>
      <c r="K98" s="441">
        <v>28000</v>
      </c>
      <c r="L98" s="485" t="str">
        <v>actual</v>
      </c>
      <c r="M98" s="463">
        <v>0</v>
      </c>
      <c r="N98" s="462" t="str">
        <v xml:space="preserve"> U. Wisc. Madison</v>
      </c>
      <c r="O98" s="473" t="str">
        <v>In McMurdo</v>
      </c>
      <c r="P98" s="429">
        <v>43845</v>
      </c>
      <c r="Q98" s="429" t="str">
        <v>In McMurdo</v>
      </c>
      <c r="R98" s="429">
        <v>0</v>
      </c>
      <c r="S98" s="457">
        <v>0</v>
      </c>
      <c r="T98" s="458" t="str">
        <v>In McMurdo</v>
      </c>
      <c r="U98" s="458" t="str">
        <v>-</v>
      </c>
      <c r="V98" s="459" t="str">
        <v>-</v>
      </c>
      <c r="W98" s="460" t="str">
        <v>In McMurdo</v>
      </c>
      <c r="X98" s="460" t="str">
        <v>-</v>
      </c>
      <c r="Y98" s="426" t="str">
        <v>-</v>
      </c>
      <c r="Z98" s="426" t="str">
        <v>In McMurdo</v>
      </c>
      <c r="AA98" s="435" t="str">
        <v>-</v>
      </c>
      <c r="AB98" s="435" t="str">
        <v>SPoT</v>
      </c>
      <c r="AC98" s="435">
        <v>45292</v>
      </c>
      <c r="AD98" s="462" t="str">
        <v>Yes</v>
      </c>
      <c r="AE98" s="462" t="str">
        <v>In McMurdo</v>
      </c>
      <c r="AF98" s="463" t="str">
        <v>FY24 intra</v>
      </c>
      <c r="AG98" s="435" t="str">
        <v>D. Gibson</v>
      </c>
      <c r="AH98" s="464">
        <v>44477</v>
      </c>
      <c r="AI98" s="464" t="str">
        <v>I. McEwen</v>
      </c>
      <c r="AJ98" s="435">
        <v>44477</v>
      </c>
      <c r="AK98" s="463" t="str">
        <v xml:space="preserve">HPU 1 integration with Rodwell system required before drill season on it's own sled which will require evaluation and repair - Stored at SPOTSA </v>
      </c>
      <c r="AL98" s="451">
        <v>0</v>
      </c>
    </row>
    <row r="99" spans="1:38" ht="33.950000000000003">
      <c r="A99" s="477">
        <v>1.2</v>
      </c>
      <c r="B99" s="475" t="str">
        <v>Drill</v>
      </c>
      <c r="C99" s="465" t="str">
        <v>Generator Intake Hood - currently staged in Pt. Hueneme</v>
      </c>
      <c r="D99" s="472" t="str">
        <v>Light weight large volume sheet metal stacks for generator ventilation</v>
      </c>
      <c r="E99" s="445">
        <v>174</v>
      </c>
      <c r="F99" s="445">
        <v>53</v>
      </c>
      <c r="G99" s="445">
        <v>96</v>
      </c>
      <c r="H99" s="445">
        <v>3</v>
      </c>
      <c r="I99" s="442">
        <v>1537</v>
      </c>
      <c r="J99" s="442">
        <v>586.66666666666663</v>
      </c>
      <c r="K99" s="441">
        <v>1760</v>
      </c>
      <c r="L99" s="485" t="str">
        <v>actual</v>
      </c>
      <c r="M99" s="463">
        <v>0</v>
      </c>
      <c r="N99" s="462" t="str">
        <v xml:space="preserve"> U. Wisc. Madison</v>
      </c>
      <c r="O99" s="473" t="str">
        <v>Already at PTH</v>
      </c>
      <c r="P99" s="429">
        <v>44112</v>
      </c>
      <c r="Q99" s="429" t="str">
        <v>Already at PTH</v>
      </c>
      <c r="R99" s="429">
        <v>44159</v>
      </c>
      <c r="S99" s="457" t="str">
        <v>Truck</v>
      </c>
      <c r="T99" s="458" t="str">
        <v>PTH - MCM</v>
      </c>
      <c r="U99" s="458" t="str">
        <v>-</v>
      </c>
      <c r="V99" s="459" t="str">
        <v>USAP Vessel</v>
      </c>
      <c r="W99" s="460" t="str">
        <v>USAP Vessel</v>
      </c>
      <c r="X99" s="460" t="str">
        <v>-</v>
      </c>
      <c r="Y99" s="426" t="str">
        <v>-</v>
      </c>
      <c r="Z99" s="426">
        <v>44963</v>
      </c>
      <c r="AA99" s="435" t="str">
        <v>-</v>
      </c>
      <c r="AB99" s="435" t="str">
        <v>LC-130/SPoT</v>
      </c>
      <c r="AC99" s="435">
        <v>45292</v>
      </c>
      <c r="AD99" s="462" t="str">
        <v>Yes</v>
      </c>
      <c r="AE99" s="462" t="str">
        <v>FY23 inter</v>
      </c>
      <c r="AF99" s="462" t="str">
        <v>FY24 intra</v>
      </c>
      <c r="AG99" s="435" t="str">
        <v>D. Gibson</v>
      </c>
      <c r="AH99" s="435">
        <v>44477</v>
      </c>
      <c r="AI99" s="435" t="str">
        <v>I. McEwen</v>
      </c>
      <c r="AJ99" s="435">
        <v>44477</v>
      </c>
      <c r="AK99" s="462">
        <v>0</v>
      </c>
      <c r="AL99" s="451">
        <v>0</v>
      </c>
    </row>
    <row r="100" spans="1:38" ht="33.950000000000003">
      <c r="A100" s="477">
        <v>1.2</v>
      </c>
      <c r="B100" s="475" t="str">
        <v>Drill</v>
      </c>
      <c r="C100" s="472" t="str">
        <v>Generator Discharge Hoods - currently staged in Pt. Hueneme</v>
      </c>
      <c r="D100" s="472" t="str">
        <v>Light weight large volume sheet metal stacks for generator ventilation</v>
      </c>
      <c r="E100" s="445">
        <v>108</v>
      </c>
      <c r="F100" s="445">
        <v>53</v>
      </c>
      <c r="G100" s="445">
        <v>60</v>
      </c>
      <c r="H100" s="445">
        <v>2</v>
      </c>
      <c r="I100" s="442">
        <v>397.5</v>
      </c>
      <c r="J100" s="442">
        <v>1210</v>
      </c>
      <c r="K100" s="441">
        <v>2420</v>
      </c>
      <c r="L100" s="485" t="str">
        <v>actual</v>
      </c>
      <c r="M100" s="463">
        <v>0</v>
      </c>
      <c r="N100" s="462" t="str">
        <v xml:space="preserve"> U. Wisc. Madison</v>
      </c>
      <c r="O100" s="473" t="str">
        <v>Already at PTH</v>
      </c>
      <c r="P100" s="429">
        <v>44112</v>
      </c>
      <c r="Q100" s="429" t="str">
        <v>Already at PTH</v>
      </c>
      <c r="R100" s="429">
        <v>44159</v>
      </c>
      <c r="S100" s="457" t="str">
        <v>Truck</v>
      </c>
      <c r="T100" s="458" t="str">
        <v>PTH - MCM</v>
      </c>
      <c r="U100" s="458" t="str">
        <v>-</v>
      </c>
      <c r="V100" s="459" t="str">
        <v>USAP Vessel</v>
      </c>
      <c r="W100" s="460" t="str">
        <v>USAP Vessel</v>
      </c>
      <c r="X100" s="460" t="str">
        <v>-</v>
      </c>
      <c r="Y100" s="426" t="str">
        <v>-</v>
      </c>
      <c r="Z100" s="426">
        <v>44963</v>
      </c>
      <c r="AA100" s="435" t="str">
        <v>-</v>
      </c>
      <c r="AB100" s="435" t="str">
        <v>LC-130/SPoT</v>
      </c>
      <c r="AC100" s="435">
        <v>45292</v>
      </c>
      <c r="AD100" s="462" t="str">
        <v>Yes</v>
      </c>
      <c r="AE100" s="462" t="str">
        <v>FY23 inter</v>
      </c>
      <c r="AF100" s="462" t="str">
        <v>FY24 intra</v>
      </c>
      <c r="AG100" s="435" t="str">
        <v>D. Gibson</v>
      </c>
      <c r="AH100" s="435">
        <v>44477</v>
      </c>
      <c r="AI100" s="435" t="str">
        <v>I. McEwen</v>
      </c>
      <c r="AJ100" s="435">
        <v>44477</v>
      </c>
      <c r="AK100" s="462">
        <v>0</v>
      </c>
      <c r="AL100" s="451">
        <v>0</v>
      </c>
    </row>
    <row r="101" spans="1:38" ht="33.950000000000003">
      <c r="A101" s="477">
        <v>1.2</v>
      </c>
      <c r="B101" s="475" t="str">
        <v>Drill</v>
      </c>
      <c r="C101" s="472" t="str">
        <v>Drill Hose  - currently staged in Pt. Hueneme</v>
      </c>
      <c r="D101" s="472" t="str">
        <v>Drill hose - 9 Spools - 348 cf / 3532 lbs each - Shipped from Italy</v>
      </c>
      <c r="E101" s="441">
        <v>92</v>
      </c>
      <c r="F101" s="441">
        <v>92</v>
      </c>
      <c r="G101" s="441">
        <v>70.5</v>
      </c>
      <c r="H101" s="445">
        <v>9</v>
      </c>
      <c r="I101" s="442">
        <v>3107.875</v>
      </c>
      <c r="J101" s="442">
        <v>3531.5555555555557</v>
      </c>
      <c r="K101" s="441">
        <v>31784</v>
      </c>
      <c r="L101" s="485" t="str">
        <v>actual</v>
      </c>
      <c r="M101" s="463">
        <v>0</v>
      </c>
      <c r="N101" s="462" t="str">
        <v xml:space="preserve"> U. Wisc. Madison</v>
      </c>
      <c r="O101" s="473" t="str">
        <v>Already at PTH</v>
      </c>
      <c r="P101" s="429">
        <v>44041</v>
      </c>
      <c r="Q101" s="429" t="str">
        <v>Already at PTH</v>
      </c>
      <c r="R101" s="429">
        <v>44058</v>
      </c>
      <c r="S101" s="457" t="str">
        <v>Truck</v>
      </c>
      <c r="T101" s="458" t="str">
        <v>PTH - MCM</v>
      </c>
      <c r="U101" s="458" t="str">
        <v>-</v>
      </c>
      <c r="V101" s="459" t="str">
        <v>USAP Vessel</v>
      </c>
      <c r="W101" s="460" t="str">
        <v>USAP Vessel</v>
      </c>
      <c r="X101" s="460" t="str">
        <v>-</v>
      </c>
      <c r="Y101" s="435" t="str">
        <v>-</v>
      </c>
      <c r="Z101" s="426">
        <v>44963</v>
      </c>
      <c r="AA101" s="435" t="str">
        <v>-</v>
      </c>
      <c r="AB101" s="435" t="str">
        <v>LC-130/SPoT</v>
      </c>
      <c r="AC101" s="435">
        <v>45292</v>
      </c>
      <c r="AD101" s="462" t="str">
        <v>Yes</v>
      </c>
      <c r="AE101" s="462" t="str">
        <v>FY23 inter</v>
      </c>
      <c r="AF101" s="462" t="str">
        <v>FY24 intra</v>
      </c>
      <c r="AG101" s="435" t="str">
        <v>D. Gibson</v>
      </c>
      <c r="AH101" s="435">
        <v>44477</v>
      </c>
      <c r="AI101" s="435" t="str">
        <v>I. McEwen</v>
      </c>
      <c r="AJ101" s="435">
        <v>44477</v>
      </c>
      <c r="AK101" s="462" t="str">
        <v>Hose to be installed on Main Supply Hose Reel upon arrival at Pole</v>
      </c>
      <c r="AL101" s="451">
        <v>0</v>
      </c>
    </row>
    <row r="102" spans="1:38" ht="33.950000000000003">
      <c r="A102" s="477">
        <v>1.2</v>
      </c>
      <c r="B102" s="475" t="str">
        <v>Drill</v>
      </c>
      <c r="C102" s="472" t="str">
        <v>Drill Hose  - currently staged in Pt. Hueneme</v>
      </c>
      <c r="D102" s="472" t="str">
        <v>Drill hose - 3 Spools - 348 cf / 5001 lbs each - Shipped from PSL</v>
      </c>
      <c r="E102" s="441">
        <v>92</v>
      </c>
      <c r="F102" s="441">
        <v>92</v>
      </c>
      <c r="G102" s="441">
        <v>70.5</v>
      </c>
      <c r="H102" s="445">
        <v>3</v>
      </c>
      <c r="I102" s="442">
        <v>1035.9583333333335</v>
      </c>
      <c r="J102" s="442">
        <v>5001</v>
      </c>
      <c r="K102" s="441">
        <v>15003</v>
      </c>
      <c r="L102" s="485" t="str">
        <v>actual</v>
      </c>
      <c r="M102" s="463">
        <v>0</v>
      </c>
      <c r="N102" s="462" t="str">
        <v xml:space="preserve"> U. Wisc. Madison</v>
      </c>
      <c r="O102" s="473" t="str">
        <v>Already at PTH</v>
      </c>
      <c r="P102" s="429">
        <v>44154</v>
      </c>
      <c r="Q102" s="429" t="str">
        <v>Already at PTH</v>
      </c>
      <c r="R102" s="429">
        <v>44211</v>
      </c>
      <c r="S102" s="457" t="str">
        <v>Truck</v>
      </c>
      <c r="T102" s="458" t="str">
        <v>PTH - MCM</v>
      </c>
      <c r="U102" s="458" t="str">
        <v>-</v>
      </c>
      <c r="V102" s="459" t="str">
        <v>USAP Vessel</v>
      </c>
      <c r="W102" s="460" t="str">
        <v>USAP Vessel</v>
      </c>
      <c r="X102" s="460" t="str">
        <v>-</v>
      </c>
      <c r="Y102" s="435" t="str">
        <v>-</v>
      </c>
      <c r="Z102" s="426">
        <v>44963</v>
      </c>
      <c r="AA102" s="435" t="str">
        <v>-</v>
      </c>
      <c r="AB102" s="435" t="str">
        <v>LC-130/SPoT</v>
      </c>
      <c r="AC102" s="435">
        <v>45292</v>
      </c>
      <c r="AD102" s="462" t="str">
        <v>Yes</v>
      </c>
      <c r="AE102" s="462" t="str">
        <v>FY23 inter</v>
      </c>
      <c r="AF102" s="462" t="str">
        <v>FY24 intra</v>
      </c>
      <c r="AG102" s="435" t="str">
        <v>D. Gibson</v>
      </c>
      <c r="AH102" s="435">
        <v>44477</v>
      </c>
      <c r="AI102" s="435" t="str">
        <v>I. McEwen</v>
      </c>
      <c r="AJ102" s="435">
        <v>44477</v>
      </c>
      <c r="AK102" s="462" t="str">
        <v>Hose to be installed on Main Supply Hose Reel upon arrival at Pole</v>
      </c>
      <c r="AL102" s="451">
        <v>0</v>
      </c>
    </row>
    <row r="103" spans="1:38" ht="33.950000000000003">
      <c r="A103" s="477">
        <v>1.4</v>
      </c>
      <c r="B103" s="475" t="str">
        <v>Installation</v>
      </c>
      <c r="C103" s="472" t="str">
        <v>ICL power and timing electronics</v>
      </c>
      <c r="D103" s="472" t="str">
        <v>1 crate containing rackmount electronics for power and timing systems - Do Not Freeze</v>
      </c>
      <c r="E103" s="445">
        <v>96</v>
      </c>
      <c r="F103" s="445">
        <v>48</v>
      </c>
      <c r="G103" s="445">
        <v>48</v>
      </c>
      <c r="H103" s="445">
        <v>1</v>
      </c>
      <c r="I103" s="442">
        <v>128</v>
      </c>
      <c r="J103" s="442">
        <v>600</v>
      </c>
      <c r="K103" s="441">
        <v>600</v>
      </c>
      <c r="L103" s="485" t="str">
        <v>estimated</v>
      </c>
      <c r="M103" s="463" t="str">
        <v>DNF</v>
      </c>
      <c r="N103" s="462" t="str">
        <v xml:space="preserve"> U. Wisc. Madison</v>
      </c>
      <c r="O103" s="473">
        <v>31</v>
      </c>
      <c r="P103" s="429">
        <v>45108</v>
      </c>
      <c r="Q103" s="429" t="str">
        <v>UWM - PTH</v>
      </c>
      <c r="R103" s="429">
        <v>45139</v>
      </c>
      <c r="S103" s="457" t="str">
        <v>Truck</v>
      </c>
      <c r="T103" s="458" t="str">
        <v>PTH - CHC</v>
      </c>
      <c r="U103" s="458" t="str">
        <v>-</v>
      </c>
      <c r="V103" s="459" t="str">
        <v>ComSur</v>
      </c>
      <c r="W103" s="460" t="str">
        <v>CHC-MCM</v>
      </c>
      <c r="X103" s="460" t="str">
        <v>-</v>
      </c>
      <c r="Y103" s="435" t="str">
        <v>USAP Air</v>
      </c>
      <c r="Z103" s="426">
        <v>45231</v>
      </c>
      <c r="AA103" s="435" t="str">
        <v>-</v>
      </c>
      <c r="AB103" s="435" t="str">
        <v>LC-130</v>
      </c>
      <c r="AC103" s="435">
        <v>45261</v>
      </c>
      <c r="AD103" s="462" t="str">
        <v>Yes</v>
      </c>
      <c r="AE103" s="462" t="str">
        <v>FY24 inter</v>
      </c>
      <c r="AF103" s="462" t="str">
        <v>FY24 intra</v>
      </c>
      <c r="AG103" s="435" t="str">
        <v>J. Kelley</v>
      </c>
      <c r="AH103" s="435">
        <v>44481</v>
      </c>
      <c r="AI103" s="435" t="str">
        <v>D. Tosi</v>
      </c>
      <c r="AJ103" s="435">
        <v>44481</v>
      </c>
      <c r="AK103" s="462">
        <v>0</v>
      </c>
      <c r="AL103" s="451">
        <v>0</v>
      </c>
    </row>
    <row r="104" spans="1:38" ht="33.950000000000003">
      <c r="A104" s="477">
        <v>1.4</v>
      </c>
      <c r="B104" s="475" t="str">
        <v>Installation</v>
      </c>
      <c r="C104" s="486" t="str">
        <v>ICL patch cables and patch panels</v>
      </c>
      <c r="D104" s="472" t="str">
        <v>Standard vessel shipping - can overwinter in McM if shipped earlier - Do Not  Deep Freeze</v>
      </c>
      <c r="E104" s="445">
        <v>96</v>
      </c>
      <c r="F104" s="445">
        <v>48</v>
      </c>
      <c r="G104" s="445">
        <v>48</v>
      </c>
      <c r="H104" s="445">
        <v>1</v>
      </c>
      <c r="I104" s="442">
        <v>128</v>
      </c>
      <c r="J104" s="442">
        <v>1200</v>
      </c>
      <c r="K104" s="441">
        <v>1200</v>
      </c>
      <c r="L104" s="485" t="str">
        <v>estimated</v>
      </c>
      <c r="M104" s="463" t="str">
        <v>DNDF [TBD]</v>
      </c>
      <c r="N104" s="462" t="str">
        <v xml:space="preserve"> U. Wisc. Madison</v>
      </c>
      <c r="O104" s="473">
        <v>61</v>
      </c>
      <c r="P104" s="429">
        <v>45078</v>
      </c>
      <c r="Q104" s="429" t="str">
        <v>UWM - PTH</v>
      </c>
      <c r="R104" s="429">
        <v>45139</v>
      </c>
      <c r="S104" s="457" t="str">
        <v>Truck</v>
      </c>
      <c r="T104" s="458" t="str">
        <v>PTH - CHC</v>
      </c>
      <c r="U104" s="458" t="str">
        <v>-</v>
      </c>
      <c r="V104" s="459" t="str">
        <v>ComSur</v>
      </c>
      <c r="W104" s="460" t="str">
        <v>CHC-MCM</v>
      </c>
      <c r="X104" s="460" t="str">
        <v>-</v>
      </c>
      <c r="Y104" s="426" t="str">
        <v>USAP Air</v>
      </c>
      <c r="Z104" s="426">
        <v>45231</v>
      </c>
      <c r="AA104" s="435" t="str">
        <v>-</v>
      </c>
      <c r="AB104" s="435" t="str">
        <v>LC-130</v>
      </c>
      <c r="AC104" s="435">
        <v>45261</v>
      </c>
      <c r="AD104" s="462" t="str">
        <v>Yes</v>
      </c>
      <c r="AE104" s="462" t="str">
        <v>FY24 inter</v>
      </c>
      <c r="AF104" s="462" t="str">
        <v>FY24 intra</v>
      </c>
      <c r="AG104" s="435" t="str">
        <v>J. Kelley</v>
      </c>
      <c r="AH104" s="435">
        <v>44481</v>
      </c>
      <c r="AI104" s="435" t="str">
        <v>D. Tosi</v>
      </c>
      <c r="AJ104" s="435">
        <v>44481</v>
      </c>
      <c r="AK104" s="462" t="str">
        <v xml:space="preserve">(*) storage in McMurdo pending low temperature test </v>
      </c>
      <c r="AL104" s="451">
        <v>0</v>
      </c>
    </row>
    <row r="105" spans="1:38" ht="33.950000000000003">
      <c r="A105" s="477">
        <v>1.2</v>
      </c>
      <c r="B105" s="475" t="str">
        <v>Drill</v>
      </c>
      <c r="C105" s="486" t="str">
        <v>Camp Hose - currently staged at PSL</v>
      </c>
      <c r="D105" s="472" t="str">
        <v>Two spools of hose - 348 cf / 4990 lbs each. Required for SES set-up - no DNDF requirement.</v>
      </c>
      <c r="E105" s="445">
        <v>92</v>
      </c>
      <c r="F105" s="445">
        <v>92</v>
      </c>
      <c r="G105" s="445">
        <v>71</v>
      </c>
      <c r="H105" s="445">
        <v>2</v>
      </c>
      <c r="I105" s="442">
        <v>695.53703703703707</v>
      </c>
      <c r="J105" s="442">
        <v>4990</v>
      </c>
      <c r="K105" s="441">
        <v>9980</v>
      </c>
      <c r="L105" s="485" t="str">
        <v>actual</v>
      </c>
      <c r="M105" s="463">
        <v>0</v>
      </c>
      <c r="N105" s="462" t="str">
        <v xml:space="preserve"> U. Wisc. Madison</v>
      </c>
      <c r="O105" s="473">
        <v>157</v>
      </c>
      <c r="P105" s="429">
        <v>44358</v>
      </c>
      <c r="Q105" s="429" t="str">
        <v>UWM - PTH</v>
      </c>
      <c r="R105" s="429">
        <v>44515</v>
      </c>
      <c r="S105" s="457" t="str">
        <v>Truck</v>
      </c>
      <c r="T105" s="458" t="str">
        <v>PTH - MCM</v>
      </c>
      <c r="U105" s="458" t="str">
        <v>-</v>
      </c>
      <c r="V105" s="459" t="str">
        <v>USAP Vessel</v>
      </c>
      <c r="W105" s="460" t="str">
        <v>USAP Vessel</v>
      </c>
      <c r="X105" s="460" t="str">
        <v>-</v>
      </c>
      <c r="Y105" s="426" t="str">
        <v>-</v>
      </c>
      <c r="Z105" s="426">
        <v>44598</v>
      </c>
      <c r="AA105" s="435" t="str">
        <v>-</v>
      </c>
      <c r="AB105" s="435" t="str">
        <v>LC-130/SPoT</v>
      </c>
      <c r="AC105" s="435">
        <v>45261</v>
      </c>
      <c r="AD105" s="462" t="str">
        <v>Yes</v>
      </c>
      <c r="AE105" s="462" t="str">
        <v>FY22 inter</v>
      </c>
      <c r="AF105" s="462" t="str">
        <v>FY24 intra</v>
      </c>
      <c r="AG105" s="435" t="str">
        <v>D. Gibson</v>
      </c>
      <c r="AH105" s="435">
        <v>44477</v>
      </c>
      <c r="AI105" s="435" t="str">
        <v>I. McEwen</v>
      </c>
      <c r="AJ105" s="435">
        <v>44477</v>
      </c>
      <c r="AK105" s="462">
        <v>0</v>
      </c>
      <c r="AL105" s="451">
        <v>0</v>
      </c>
    </row>
    <row r="106" spans="1:38" ht="33.950000000000003">
      <c r="A106" s="487">
        <v>1.2</v>
      </c>
      <c r="B106" s="488" t="str">
        <v>Drill</v>
      </c>
      <c r="C106" s="489" t="str">
        <v>Bull wheel</v>
      </c>
      <c r="D106" s="489" t="str">
        <v>Bull wheel assembly - used to install main cable on reel in event of main cable damage/failure</v>
      </c>
      <c r="E106" s="447">
        <v>88</v>
      </c>
      <c r="F106" s="447">
        <v>58</v>
      </c>
      <c r="G106" s="447">
        <v>97</v>
      </c>
      <c r="H106" s="445">
        <v>1</v>
      </c>
      <c r="I106" s="442">
        <v>286.50925925925924</v>
      </c>
      <c r="J106" s="442">
        <v>2880</v>
      </c>
      <c r="K106" s="441">
        <v>2880</v>
      </c>
      <c r="L106" s="490" t="str">
        <v>actual</v>
      </c>
      <c r="M106" s="491">
        <v>0</v>
      </c>
      <c r="N106" s="462" t="str">
        <v xml:space="preserve"> U. Wisc. Madison</v>
      </c>
      <c r="O106" s="473">
        <v>349</v>
      </c>
      <c r="P106" s="429">
        <v>44531</v>
      </c>
      <c r="Q106" s="429" t="str">
        <v>UWM - PTH</v>
      </c>
      <c r="R106" s="429">
        <v>44880</v>
      </c>
      <c r="S106" s="457" t="str">
        <v>Truck</v>
      </c>
      <c r="T106" s="458" t="str">
        <v>PTH - MCM</v>
      </c>
      <c r="U106" s="458" t="str">
        <v>-</v>
      </c>
      <c r="V106" s="459" t="str">
        <v>USAP Vessel</v>
      </c>
      <c r="W106" s="460" t="str">
        <v>USAP Vessel</v>
      </c>
      <c r="X106" s="460" t="str">
        <v>-</v>
      </c>
      <c r="Y106" s="426" t="str">
        <v>-</v>
      </c>
      <c r="Z106" s="426">
        <v>44963</v>
      </c>
      <c r="AA106" s="435" t="str">
        <v>-</v>
      </c>
      <c r="AB106" s="435" t="str">
        <v>LC-130/SPoT</v>
      </c>
      <c r="AC106" s="435">
        <v>45323</v>
      </c>
      <c r="AD106" s="462" t="str">
        <v>No</v>
      </c>
      <c r="AE106" s="462" t="str">
        <v>FY23 inter</v>
      </c>
      <c r="AF106" s="462" t="str">
        <v>FY24 intra</v>
      </c>
      <c r="AG106" s="435" t="str">
        <v>D. Gibson</v>
      </c>
      <c r="AH106" s="435">
        <v>44477</v>
      </c>
      <c r="AI106" s="435" t="str">
        <v>I. McEwen</v>
      </c>
      <c r="AJ106" s="435">
        <v>44477</v>
      </c>
      <c r="AK106" s="462" t="str">
        <v>Weight and cube used from Gen 1 shipping label still on bull wheel.</v>
      </c>
      <c r="AL106" s="451">
        <v>0</v>
      </c>
    </row>
    <row r="107" spans="1:38" ht="33.950000000000003">
      <c r="A107" s="487">
        <v>1.2</v>
      </c>
      <c r="B107" s="488" t="str">
        <v>Drill</v>
      </c>
      <c r="C107" s="489" t="str">
        <v>Load member cable reel</v>
      </c>
      <c r="D107" s="489" t="str">
        <v>Cable Reel used to deploy downhole load member during string installation</v>
      </c>
      <c r="E107" s="447">
        <v>84</v>
      </c>
      <c r="F107" s="447">
        <v>60</v>
      </c>
      <c r="G107" s="447">
        <v>48</v>
      </c>
      <c r="H107" s="445">
        <v>1</v>
      </c>
      <c r="I107" s="442">
        <v>140</v>
      </c>
      <c r="J107" s="442">
        <v>3800</v>
      </c>
      <c r="K107" s="441">
        <v>3800</v>
      </c>
      <c r="L107" s="490" t="str">
        <v>estimated</v>
      </c>
      <c r="M107" s="491">
        <v>0</v>
      </c>
      <c r="N107" s="462" t="str">
        <v xml:space="preserve"> U. Wisc. Madison</v>
      </c>
      <c r="O107" s="473">
        <v>31</v>
      </c>
      <c r="P107" s="429">
        <v>44849</v>
      </c>
      <c r="Q107" s="429" t="str">
        <v>UWM - PTH</v>
      </c>
      <c r="R107" s="429">
        <v>44880</v>
      </c>
      <c r="S107" s="457" t="str">
        <v>Truck</v>
      </c>
      <c r="T107" s="458" t="str">
        <v>PTH - MCM</v>
      </c>
      <c r="U107" s="458" t="str">
        <v>-</v>
      </c>
      <c r="V107" s="459" t="str">
        <v>USAP Vessel</v>
      </c>
      <c r="W107" s="460" t="str">
        <v>USAP Vessel</v>
      </c>
      <c r="X107" s="460" t="str">
        <v>-</v>
      </c>
      <c r="Y107" s="426" t="str">
        <v>-</v>
      </c>
      <c r="Z107" s="426">
        <v>44963</v>
      </c>
      <c r="AA107" s="435" t="str">
        <v>-</v>
      </c>
      <c r="AB107" s="435" t="str">
        <v>LC-130/SPoT</v>
      </c>
      <c r="AC107" s="435">
        <v>45275</v>
      </c>
      <c r="AD107" s="462" t="str">
        <v>Yes</v>
      </c>
      <c r="AE107" s="462" t="str">
        <v>FY23 inter</v>
      </c>
      <c r="AF107" s="462" t="str">
        <v>FY24 intra</v>
      </c>
      <c r="AG107" s="435" t="str">
        <v>D. Gibson</v>
      </c>
      <c r="AH107" s="435">
        <v>44477</v>
      </c>
      <c r="AI107" s="435" t="str">
        <v>I. McEwen</v>
      </c>
      <c r="AJ107" s="435">
        <v>44477</v>
      </c>
      <c r="AK107" s="462" t="str">
        <v>Required onsite in FW YR 2 for integration - recent addition, still in development</v>
      </c>
      <c r="AL107" s="451">
        <v>0</v>
      </c>
    </row>
    <row r="108" spans="1:38" ht="33.950000000000003">
      <c r="A108" s="477">
        <v>1.2</v>
      </c>
      <c r="B108" s="475" t="str">
        <v>Installation</v>
      </c>
      <c r="C108" s="472" t="str">
        <v>DOM Handling Facility (DHF)</v>
      </c>
      <c r="D108" s="472" t="str">
        <v>Standard vessel shipping - can overwinter in McM.</v>
      </c>
      <c r="E108" s="445">
        <v>240</v>
      </c>
      <c r="F108" s="445">
        <v>96</v>
      </c>
      <c r="G108" s="445">
        <v>96</v>
      </c>
      <c r="H108" s="445">
        <v>1</v>
      </c>
      <c r="I108" s="442">
        <v>1280</v>
      </c>
      <c r="J108" s="442">
        <v>12000</v>
      </c>
      <c r="K108" s="441">
        <v>12000</v>
      </c>
      <c r="L108" s="485" t="str">
        <v>estimated</v>
      </c>
      <c r="M108" s="463">
        <v>0</v>
      </c>
      <c r="N108" s="462" t="str">
        <v xml:space="preserve"> U. Wisc. Madison</v>
      </c>
      <c r="O108" s="473">
        <v>117</v>
      </c>
      <c r="P108" s="429">
        <v>44763</v>
      </c>
      <c r="Q108" s="429" t="str">
        <v>UWM - PTH</v>
      </c>
      <c r="R108" s="429">
        <v>44880</v>
      </c>
      <c r="S108" s="457" t="str">
        <v>Truck</v>
      </c>
      <c r="T108" s="458" t="str">
        <v>PTH - MCM</v>
      </c>
      <c r="U108" s="458" t="str">
        <v>-</v>
      </c>
      <c r="V108" s="459" t="str">
        <v>USAP Vessel</v>
      </c>
      <c r="W108" s="460" t="str">
        <v>USAP Vessel</v>
      </c>
      <c r="X108" s="460" t="str">
        <v>-</v>
      </c>
      <c r="Y108" s="435" t="str">
        <v>-</v>
      </c>
      <c r="Z108" s="426">
        <v>44963</v>
      </c>
      <c r="AA108" s="435" t="str">
        <v>-</v>
      </c>
      <c r="AB108" s="435" t="str">
        <v>LC-130/SPoT</v>
      </c>
      <c r="AC108" s="435">
        <v>45261</v>
      </c>
      <c r="AD108" s="462" t="str">
        <v>Yes</v>
      </c>
      <c r="AE108" s="462" t="str">
        <v>FY23 inter</v>
      </c>
      <c r="AF108" s="462" t="str">
        <v>FY24 intra</v>
      </c>
      <c r="AG108" s="435" t="str">
        <v>D. Gibson</v>
      </c>
      <c r="AH108" s="435">
        <v>44477</v>
      </c>
      <c r="AI108" s="435" t="str">
        <v>I. McEwen</v>
      </c>
      <c r="AJ108" s="435">
        <v>44477</v>
      </c>
      <c r="AK108" s="462" t="str">
        <v>Sensor Handling Facility construction scheduled to begin mid-December FY24</v>
      </c>
      <c r="AL108" s="451">
        <v>0</v>
      </c>
    </row>
    <row r="109" spans="1:38" ht="33.950000000000003">
      <c r="A109" s="477">
        <v>1.2</v>
      </c>
      <c r="B109" s="475" t="str">
        <v>Drill</v>
      </c>
      <c r="C109" s="472" t="str">
        <v xml:space="preserve">Spare Combo cable </v>
      </c>
      <c r="D109" s="472" t="str">
        <v>Spare cable for Return Water Cable Reel - on spool</v>
      </c>
      <c r="E109" s="445">
        <v>72</v>
      </c>
      <c r="F109" s="445">
        <v>72</v>
      </c>
      <c r="G109" s="445">
        <v>72</v>
      </c>
      <c r="H109" s="445">
        <v>1</v>
      </c>
      <c r="I109" s="442">
        <v>216</v>
      </c>
      <c r="J109" s="442">
        <v>3000</v>
      </c>
      <c r="K109" s="441">
        <v>3000</v>
      </c>
      <c r="L109" s="485" t="str">
        <v>actual</v>
      </c>
      <c r="M109" s="463">
        <v>0</v>
      </c>
      <c r="N109" s="462" t="str">
        <v xml:space="preserve"> U. Wisc. Madison</v>
      </c>
      <c r="O109" s="473">
        <v>31</v>
      </c>
      <c r="P109" s="429">
        <v>44849</v>
      </c>
      <c r="Q109" s="429" t="str">
        <v>UWM - PTH</v>
      </c>
      <c r="R109" s="429">
        <v>44880</v>
      </c>
      <c r="S109" s="457" t="str">
        <v>Truck</v>
      </c>
      <c r="T109" s="458" t="str">
        <v>PTH - MCM</v>
      </c>
      <c r="U109" s="458" t="str">
        <v>-</v>
      </c>
      <c r="V109" s="459" t="str">
        <v>USAP Vessel</v>
      </c>
      <c r="W109" s="460" t="str">
        <v>USAP Vessel</v>
      </c>
      <c r="X109" s="460" t="str">
        <v>-</v>
      </c>
      <c r="Y109" s="435" t="str">
        <v>-</v>
      </c>
      <c r="Z109" s="426">
        <v>45328</v>
      </c>
      <c r="AA109" s="435" t="str">
        <v>-</v>
      </c>
      <c r="AB109" s="435" t="str">
        <v>LC-130/SPoT</v>
      </c>
      <c r="AC109" s="435">
        <v>45334</v>
      </c>
      <c r="AD109" s="462" t="str">
        <v>No</v>
      </c>
      <c r="AE109" s="462" t="str">
        <v>FY24 inter</v>
      </c>
      <c r="AF109" s="462" t="str">
        <v>FY24 intra</v>
      </c>
      <c r="AG109" s="435" t="str">
        <v>D. Gibson</v>
      </c>
      <c r="AH109" s="435">
        <v>44477</v>
      </c>
      <c r="AI109" s="435" t="str">
        <v>I. McEwen</v>
      </c>
      <c r="AJ109" s="435">
        <v>44477</v>
      </c>
      <c r="AK109" s="462" t="str">
        <v>Spare required for drill season</v>
      </c>
      <c r="AL109" s="451">
        <v>0</v>
      </c>
    </row>
    <row r="110" spans="1:38" ht="33.950000000000003">
      <c r="A110" s="477">
        <v>1.2</v>
      </c>
      <c r="B110" s="475" t="str">
        <v>Drill</v>
      </c>
      <c r="C110" s="465" t="str">
        <v>Spare Drill Cable</v>
      </c>
      <c r="D110" s="465" t="str">
        <v>Standard vessel shipping - can overwinter in McM. Cable on steel spool.</v>
      </c>
      <c r="E110" s="449">
        <v>83</v>
      </c>
      <c r="F110" s="449">
        <v>83</v>
      </c>
      <c r="G110" s="449">
        <v>61</v>
      </c>
      <c r="H110" s="445">
        <v>1</v>
      </c>
      <c r="I110" s="442">
        <v>243.1880787037037</v>
      </c>
      <c r="J110" s="442">
        <v>6835</v>
      </c>
      <c r="K110" s="441">
        <v>6835</v>
      </c>
      <c r="L110" s="492" t="str">
        <v>actual</v>
      </c>
      <c r="M110" s="476">
        <v>0</v>
      </c>
      <c r="N110" s="462" t="str">
        <v xml:space="preserve"> U. Wisc. Madison</v>
      </c>
      <c r="O110" s="473">
        <v>31</v>
      </c>
      <c r="P110" s="429">
        <v>44849</v>
      </c>
      <c r="Q110" s="429" t="str">
        <v>UWM - PTH</v>
      </c>
      <c r="R110" s="429">
        <v>44880</v>
      </c>
      <c r="S110" s="457" t="str">
        <v>Truck</v>
      </c>
      <c r="T110" s="458" t="str">
        <v>PTH - MCM</v>
      </c>
      <c r="U110" s="458" t="str">
        <v>-</v>
      </c>
      <c r="V110" s="459" t="str">
        <v>USAP Vessel</v>
      </c>
      <c r="W110" s="460" t="str">
        <v>USAP Vessel</v>
      </c>
      <c r="X110" s="460" t="str">
        <v>-</v>
      </c>
      <c r="Y110" s="435" t="str">
        <v>-</v>
      </c>
      <c r="Z110" s="426">
        <v>45328</v>
      </c>
      <c r="AA110" s="435" t="str">
        <v>-</v>
      </c>
      <c r="AB110" s="435" t="str">
        <v>LC-130/SPoT</v>
      </c>
      <c r="AC110" s="435">
        <v>45334</v>
      </c>
      <c r="AD110" s="462" t="str">
        <v>No</v>
      </c>
      <c r="AE110" s="462" t="str">
        <v>FY24 inter</v>
      </c>
      <c r="AF110" s="462" t="str">
        <v>FY24 intra</v>
      </c>
      <c r="AG110" s="435" t="str">
        <v>D. Gibson</v>
      </c>
      <c r="AH110" s="435">
        <v>44477</v>
      </c>
      <c r="AI110" s="435" t="str">
        <v>I. McEwen</v>
      </c>
      <c r="AJ110" s="435">
        <v>44477</v>
      </c>
      <c r="AK110" s="462" t="str">
        <v>Spare required for drill season</v>
      </c>
      <c r="AL110" s="451">
        <v>0</v>
      </c>
    </row>
    <row r="111" spans="1:38" ht="33.950000000000003">
      <c r="A111" s="478">
        <v>1.2</v>
      </c>
      <c r="B111" s="479" t="str">
        <v>Drill</v>
      </c>
      <c r="C111" s="481" t="str">
        <v>Computing/controls components</v>
      </c>
      <c r="D111" s="465" t="str">
        <v>Computing and controls equipment (Motor drives and other sensitive electronics) - Do Not Freeze</v>
      </c>
      <c r="E111" s="482">
        <v>96</v>
      </c>
      <c r="F111" s="482">
        <v>48</v>
      </c>
      <c r="G111" s="482">
        <v>48</v>
      </c>
      <c r="H111" s="445">
        <v>1</v>
      </c>
      <c r="I111" s="441">
        <v>128</v>
      </c>
      <c r="J111" s="441">
        <v>3000</v>
      </c>
      <c r="K111" s="441">
        <v>3000</v>
      </c>
      <c r="L111" s="483" t="str">
        <v>estimated</v>
      </c>
      <c r="M111" s="484" t="str">
        <v>DNF</v>
      </c>
      <c r="N111" s="462" t="str">
        <v xml:space="preserve"> U. Wisc. Madison</v>
      </c>
      <c r="O111" s="473">
        <v>31</v>
      </c>
      <c r="P111" s="429">
        <v>45108</v>
      </c>
      <c r="Q111" s="429" t="str">
        <v>UWM - PTH</v>
      </c>
      <c r="R111" s="429">
        <v>45139</v>
      </c>
      <c r="S111" s="457" t="str">
        <v>Truck</v>
      </c>
      <c r="T111" s="458" t="str">
        <v>PTH - CHC</v>
      </c>
      <c r="U111" s="458" t="str">
        <v>-</v>
      </c>
      <c r="V111" s="459" t="str">
        <v>ComSur</v>
      </c>
      <c r="W111" s="460" t="str">
        <v>CHC-MCM</v>
      </c>
      <c r="X111" s="460" t="str">
        <v>-</v>
      </c>
      <c r="Y111" s="426" t="str">
        <v>USAP Air</v>
      </c>
      <c r="Z111" s="426">
        <v>45231</v>
      </c>
      <c r="AA111" s="435" t="str">
        <v>-</v>
      </c>
      <c r="AB111" s="435" t="str">
        <v>LC-130</v>
      </c>
      <c r="AC111" s="435">
        <v>45245</v>
      </c>
      <c r="AD111" s="462" t="str">
        <v>Yes</v>
      </c>
      <c r="AE111" s="462" t="str">
        <v>FY24 inter</v>
      </c>
      <c r="AF111" s="462" t="str">
        <v>FY24 intra</v>
      </c>
      <c r="AG111" s="435" t="str">
        <v>D. Gibson</v>
      </c>
      <c r="AH111" s="435">
        <v>44477</v>
      </c>
      <c r="AI111" s="435" t="str">
        <v>I. McEwen</v>
      </c>
      <c r="AJ111" s="435">
        <v>44477</v>
      </c>
      <c r="AK111" s="462" t="str">
        <v>Required onsite in FW YR 2 to support controls system tasking</v>
      </c>
      <c r="AL111" s="451">
        <v>0</v>
      </c>
    </row>
    <row r="112" spans="1:38" ht="33.950000000000003">
      <c r="A112" s="478">
        <v>1.2</v>
      </c>
      <c r="B112" s="479" t="str">
        <v>Drill</v>
      </c>
      <c r="C112" s="481" t="str">
        <v>Driller resupply/refit components -  8'  Container</v>
      </c>
      <c r="D112" s="465" t="str">
        <v>8' Mini Milvan; Consumables/drill components</v>
      </c>
      <c r="E112" s="482">
        <v>96</v>
      </c>
      <c r="F112" s="482">
        <v>86</v>
      </c>
      <c r="G112" s="482">
        <v>96</v>
      </c>
      <c r="H112" s="445">
        <v>1</v>
      </c>
      <c r="I112" s="441">
        <v>458.66666666666669</v>
      </c>
      <c r="J112" s="441">
        <v>6500</v>
      </c>
      <c r="K112" s="441">
        <v>6500</v>
      </c>
      <c r="L112" s="483" t="str">
        <v>estimated</v>
      </c>
      <c r="M112" s="493">
        <v>0</v>
      </c>
      <c r="N112" s="462" t="str">
        <v xml:space="preserve"> U. Wisc. Madison</v>
      </c>
      <c r="O112" s="473">
        <v>31</v>
      </c>
      <c r="P112" s="429">
        <v>45108</v>
      </c>
      <c r="Q112" s="429" t="str">
        <v>UWM - PTH</v>
      </c>
      <c r="R112" s="429">
        <v>45139</v>
      </c>
      <c r="S112" s="457" t="str">
        <v>Truck</v>
      </c>
      <c r="T112" s="458" t="str">
        <v>PTH - CHC</v>
      </c>
      <c r="U112" s="458" t="str">
        <v>-</v>
      </c>
      <c r="V112" s="459" t="str">
        <v>ComSur</v>
      </c>
      <c r="W112" s="460" t="str">
        <v>CHC-MCM</v>
      </c>
      <c r="X112" s="460" t="str">
        <v>-</v>
      </c>
      <c r="Y112" s="426" t="str">
        <v>USAP Air</v>
      </c>
      <c r="Z112" s="426">
        <v>45231</v>
      </c>
      <c r="AA112" s="435" t="str">
        <v>-</v>
      </c>
      <c r="AB112" s="435" t="str">
        <v>LC-130</v>
      </c>
      <c r="AC112" s="435">
        <v>45245</v>
      </c>
      <c r="AD112" s="462" t="str">
        <v>Yes</v>
      </c>
      <c r="AE112" s="462" t="str">
        <v>FY24 inter</v>
      </c>
      <c r="AF112" s="462" t="str">
        <v>FY24 intra</v>
      </c>
      <c r="AG112" s="435" t="str">
        <v>D. Gibson</v>
      </c>
      <c r="AH112" s="435">
        <v>44477</v>
      </c>
      <c r="AI112" s="435" t="str">
        <v>I. McEwen</v>
      </c>
      <c r="AJ112" s="435">
        <v>44477</v>
      </c>
      <c r="AK112" s="462" t="str">
        <v>Items identifed in prior field season - 8' container moves with contents overland or by air</v>
      </c>
      <c r="AL112" s="451">
        <v>0</v>
      </c>
    </row>
    <row r="113" spans="1:38" ht="33.950000000000003">
      <c r="A113" s="478">
        <v>1.2</v>
      </c>
      <c r="B113" s="479" t="str">
        <v>Drill</v>
      </c>
      <c r="C113" s="481" t="str">
        <v>Drill refit components</v>
      </c>
      <c r="D113" s="481" t="str">
        <v>Single crate. Consumables/drill refit components</v>
      </c>
      <c r="E113" s="482">
        <v>96</v>
      </c>
      <c r="F113" s="482">
        <v>48</v>
      </c>
      <c r="G113" s="482">
        <v>48</v>
      </c>
      <c r="H113" s="445">
        <v>1</v>
      </c>
      <c r="I113" s="441">
        <v>128</v>
      </c>
      <c r="J113" s="441">
        <v>3000</v>
      </c>
      <c r="K113" s="441">
        <v>3000</v>
      </c>
      <c r="L113" s="483" t="str">
        <v>estimated</v>
      </c>
      <c r="M113" s="493">
        <v>0</v>
      </c>
      <c r="N113" s="462" t="str">
        <v xml:space="preserve"> U. Wisc. Madison</v>
      </c>
      <c r="O113" s="473">
        <v>31</v>
      </c>
      <c r="P113" s="429">
        <v>45108</v>
      </c>
      <c r="Q113" s="429" t="str">
        <v>UWM - PTH</v>
      </c>
      <c r="R113" s="429">
        <v>45139</v>
      </c>
      <c r="S113" s="457" t="str">
        <v>Truck</v>
      </c>
      <c r="T113" s="458" t="str">
        <v>PTH - CHC</v>
      </c>
      <c r="U113" s="458" t="str">
        <v>-</v>
      </c>
      <c r="V113" s="459" t="str">
        <v>Comsur</v>
      </c>
      <c r="W113" s="460" t="str">
        <v>CHC-MCM</v>
      </c>
      <c r="X113" s="460" t="str">
        <v>-</v>
      </c>
      <c r="Y113" s="426" t="str">
        <v>USAP Air</v>
      </c>
      <c r="Z113" s="426">
        <v>45231</v>
      </c>
      <c r="AA113" s="435" t="str">
        <v>-</v>
      </c>
      <c r="AB113" s="435" t="str">
        <v>LC-130</v>
      </c>
      <c r="AC113" s="435">
        <v>45245</v>
      </c>
      <c r="AD113" s="462" t="str">
        <v>Yes</v>
      </c>
      <c r="AE113" s="462" t="str">
        <v>FY24 inter</v>
      </c>
      <c r="AF113" s="462" t="str">
        <v>FY24 intra</v>
      </c>
      <c r="AG113" s="435" t="str">
        <v>D. Gibson</v>
      </c>
      <c r="AH113" s="435">
        <v>44477</v>
      </c>
      <c r="AI113" s="435" t="str">
        <v>I. McEwen</v>
      </c>
      <c r="AJ113" s="435">
        <v>44477</v>
      </c>
      <c r="AK113" s="462" t="str">
        <v>Items identifed in prior field season</v>
      </c>
      <c r="AL113" s="451">
        <v>0</v>
      </c>
    </row>
    <row r="114" spans="1:38" ht="33.950000000000003">
      <c r="A114" s="477">
        <v>1.2</v>
      </c>
      <c r="B114" s="475" t="str">
        <v>Drill</v>
      </c>
      <c r="C114" s="472" t="str">
        <v>Drill Heads DNF - Y</v>
      </c>
      <c r="D114" s="472" t="str">
        <v>Drill Heads for winterover storage - ICL  - Do Not Freeze</v>
      </c>
      <c r="E114" s="445">
        <v>192</v>
      </c>
      <c r="F114" s="445">
        <v>24</v>
      </c>
      <c r="G114" s="445">
        <v>24</v>
      </c>
      <c r="H114" s="445">
        <v>1</v>
      </c>
      <c r="I114" s="441">
        <v>64</v>
      </c>
      <c r="J114" s="441">
        <v>1060</v>
      </c>
      <c r="K114" s="441">
        <v>1060</v>
      </c>
      <c r="L114" s="485" t="str">
        <v>actual</v>
      </c>
      <c r="M114" s="463" t="str">
        <v>DNF</v>
      </c>
      <c r="N114" s="462" t="str">
        <v xml:space="preserve"> U. Wisc. Madison</v>
      </c>
      <c r="O114" s="473">
        <v>805</v>
      </c>
      <c r="P114" s="429">
        <v>44440</v>
      </c>
      <c r="Q114" s="429" t="str">
        <v>UWM - PTH</v>
      </c>
      <c r="R114" s="429">
        <v>45245</v>
      </c>
      <c r="S114" s="457" t="str">
        <v>Truck</v>
      </c>
      <c r="T114" s="458" t="str">
        <v>PTH - MCM</v>
      </c>
      <c r="U114" s="458" t="str">
        <v>-</v>
      </c>
      <c r="V114" s="459" t="str">
        <v>USAP Vessel</v>
      </c>
      <c r="W114" s="460" t="str">
        <v>USAP Vessel</v>
      </c>
      <c r="X114" s="460" t="str">
        <v>-</v>
      </c>
      <c r="Y114" s="435" t="str">
        <v>-</v>
      </c>
      <c r="Z114" s="426">
        <v>45328</v>
      </c>
      <c r="AA114" s="435" t="str">
        <v>-</v>
      </c>
      <c r="AB114" s="435" t="str">
        <v>LC-130</v>
      </c>
      <c r="AC114" s="435">
        <v>45334</v>
      </c>
      <c r="AD114" s="462" t="str">
        <v>Yes</v>
      </c>
      <c r="AE114" s="462" t="str">
        <v>FY24 inter</v>
      </c>
      <c r="AF114" s="462" t="str">
        <v>FY24 intra</v>
      </c>
      <c r="AG114" s="435" t="str">
        <v>D. Gibson</v>
      </c>
      <c r="AH114" s="435">
        <v>44477</v>
      </c>
      <c r="AI114" s="435" t="str">
        <v>I. McEwen</v>
      </c>
      <c r="AJ114" s="435">
        <v>44477</v>
      </c>
      <c r="AK114" s="462">
        <v>0</v>
      </c>
      <c r="AL114" s="451">
        <v>0</v>
      </c>
    </row>
    <row r="115" spans="1:38" ht="33.950000000000003">
      <c r="A115" s="477">
        <v>1.2</v>
      </c>
      <c r="B115" s="475" t="str">
        <v>Drill</v>
      </c>
      <c r="C115" s="472" t="str">
        <v>Drill Heads DNF - R</v>
      </c>
      <c r="D115" s="472" t="str">
        <v xml:space="preserve">Drill Heads for winterover storage - ICL  - Do Not Freeze </v>
      </c>
      <c r="E115" s="445">
        <v>192</v>
      </c>
      <c r="F115" s="445">
        <v>24</v>
      </c>
      <c r="G115" s="445">
        <v>24</v>
      </c>
      <c r="H115" s="445">
        <v>1</v>
      </c>
      <c r="I115" s="441">
        <v>64</v>
      </c>
      <c r="J115" s="441">
        <v>1060</v>
      </c>
      <c r="K115" s="441">
        <v>1060</v>
      </c>
      <c r="L115" s="485" t="str">
        <v>actual</v>
      </c>
      <c r="M115" s="463" t="str">
        <v>DNF</v>
      </c>
      <c r="N115" s="462" t="str">
        <v xml:space="preserve"> U. Wisc. Madison</v>
      </c>
      <c r="O115" s="473">
        <v>805</v>
      </c>
      <c r="P115" s="429">
        <v>44440</v>
      </c>
      <c r="Q115" s="429" t="str">
        <v>UWM - PTH</v>
      </c>
      <c r="R115" s="429">
        <v>45245</v>
      </c>
      <c r="S115" s="457" t="str">
        <v>Truck</v>
      </c>
      <c r="T115" s="458" t="str">
        <v>PTH - MCM</v>
      </c>
      <c r="U115" s="458" t="str">
        <v>-</v>
      </c>
      <c r="V115" s="459" t="str">
        <v>USAP Vessel</v>
      </c>
      <c r="W115" s="460" t="str">
        <v>USAP Vessel</v>
      </c>
      <c r="X115" s="460" t="str">
        <v>-</v>
      </c>
      <c r="Y115" s="435" t="str">
        <v>-</v>
      </c>
      <c r="Z115" s="426">
        <v>45328</v>
      </c>
      <c r="AA115" s="435" t="str">
        <v>-</v>
      </c>
      <c r="AB115" s="435" t="str">
        <v>LC-130</v>
      </c>
      <c r="AC115" s="435">
        <v>45334</v>
      </c>
      <c r="AD115" s="462" t="str">
        <v>Yes</v>
      </c>
      <c r="AE115" s="462" t="str">
        <v>FY24 inter</v>
      </c>
      <c r="AF115" s="462" t="str">
        <v>FY24 intra</v>
      </c>
      <c r="AG115" s="435" t="str">
        <v>D. Gibson</v>
      </c>
      <c r="AH115" s="435">
        <v>44477</v>
      </c>
      <c r="AI115" s="435" t="str">
        <v>I. McEwen</v>
      </c>
      <c r="AJ115" s="435">
        <v>44477</v>
      </c>
      <c r="AK115" s="462">
        <v>0</v>
      </c>
      <c r="AL115" s="451">
        <v>0</v>
      </c>
    </row>
    <row r="116" spans="1:38" ht="33.950000000000003">
      <c r="A116" s="477">
        <v>1.2</v>
      </c>
      <c r="B116" s="475" t="str">
        <v>Installation</v>
      </c>
      <c r="C116" s="472" t="str">
        <v xml:space="preserve">Installation Hardware  87-93 </v>
      </c>
      <c r="D116" s="472" t="str">
        <v>Installation hardware for winterover storage at Pole</v>
      </c>
      <c r="E116" s="445">
        <v>96</v>
      </c>
      <c r="F116" s="445">
        <v>48</v>
      </c>
      <c r="G116" s="445">
        <v>48</v>
      </c>
      <c r="H116" s="445">
        <v>7</v>
      </c>
      <c r="I116" s="441">
        <v>896</v>
      </c>
      <c r="J116" s="441">
        <v>1000</v>
      </c>
      <c r="K116" s="441">
        <v>7000</v>
      </c>
      <c r="L116" s="485" t="str">
        <v>estimated</v>
      </c>
      <c r="M116" s="492">
        <v>0</v>
      </c>
      <c r="N116" s="462" t="str">
        <v xml:space="preserve"> U. Wisc. Madison</v>
      </c>
      <c r="O116" s="473">
        <v>123</v>
      </c>
      <c r="P116" s="429">
        <v>45122</v>
      </c>
      <c r="Q116" s="429" t="str">
        <v>UWM - PTH</v>
      </c>
      <c r="R116" s="429">
        <v>45245</v>
      </c>
      <c r="S116" s="457" t="str">
        <v>Truck</v>
      </c>
      <c r="T116" s="458" t="str">
        <v>PTH - MCM</v>
      </c>
      <c r="U116" s="458" t="str">
        <v>-</v>
      </c>
      <c r="V116" s="459" t="str">
        <v>USAP Vessel</v>
      </c>
      <c r="W116" s="460" t="str">
        <v>USAP Vessel</v>
      </c>
      <c r="X116" s="460" t="str">
        <v>-</v>
      </c>
      <c r="Y116" s="435" t="str">
        <v>-</v>
      </c>
      <c r="Z116" s="426">
        <v>45328</v>
      </c>
      <c r="AA116" s="435" t="str">
        <v>-</v>
      </c>
      <c r="AB116" s="435" t="str">
        <v>LC-130</v>
      </c>
      <c r="AC116" s="435">
        <v>45337</v>
      </c>
      <c r="AD116" s="462" t="str">
        <v>Yes</v>
      </c>
      <c r="AE116" s="462" t="str">
        <v>FY24 inter</v>
      </c>
      <c r="AF116" s="462" t="str">
        <v>FY24 intra</v>
      </c>
      <c r="AG116" s="435" t="str">
        <v>D. Tosi</v>
      </c>
      <c r="AH116" s="435">
        <v>44461</v>
      </c>
      <c r="AI116" s="435" t="str">
        <v>I. McEwen</v>
      </c>
      <c r="AJ116" s="435">
        <v>44461</v>
      </c>
      <c r="AK116" s="462">
        <v>0</v>
      </c>
      <c r="AL116" s="451">
        <v>0</v>
      </c>
    </row>
    <row r="117" spans="1:38" ht="33.950000000000003">
      <c r="A117" s="477">
        <v>1.2</v>
      </c>
      <c r="B117" s="475" t="str">
        <v>Installation</v>
      </c>
      <c r="C117" s="472" t="str">
        <v xml:space="preserve">Installation Weights  87-93 </v>
      </c>
      <c r="D117" s="472" t="str">
        <v>Installation weights for winterover storage at Pole</v>
      </c>
      <c r="E117" s="494">
        <v>36</v>
      </c>
      <c r="F117" s="494">
        <v>24</v>
      </c>
      <c r="G117" s="494">
        <v>24</v>
      </c>
      <c r="H117" s="445">
        <v>7</v>
      </c>
      <c r="I117" s="441">
        <v>84</v>
      </c>
      <c r="J117" s="441">
        <v>785.71428571428567</v>
      </c>
      <c r="K117" s="441">
        <v>5500</v>
      </c>
      <c r="L117" s="485" t="str">
        <v>estimated</v>
      </c>
      <c r="M117" s="463">
        <v>0</v>
      </c>
      <c r="N117" s="462" t="str">
        <v xml:space="preserve"> U. Wisc. Madison</v>
      </c>
      <c r="O117" s="473">
        <v>123</v>
      </c>
      <c r="P117" s="429">
        <v>45122</v>
      </c>
      <c r="Q117" s="429" t="str">
        <v>UWM - PTH</v>
      </c>
      <c r="R117" s="429">
        <v>45245</v>
      </c>
      <c r="S117" s="457" t="str">
        <v>Truck</v>
      </c>
      <c r="T117" s="458" t="str">
        <v>PTH - MCM</v>
      </c>
      <c r="U117" s="458" t="str">
        <v>-</v>
      </c>
      <c r="V117" s="459" t="str">
        <v>USAP Vessel</v>
      </c>
      <c r="W117" s="460" t="str">
        <v>USAP Vessel</v>
      </c>
      <c r="X117" s="460" t="str">
        <v>-</v>
      </c>
      <c r="Y117" s="435" t="str">
        <v>-</v>
      </c>
      <c r="Z117" s="426">
        <v>45328</v>
      </c>
      <c r="AA117" s="435" t="str">
        <v>-</v>
      </c>
      <c r="AB117" s="435" t="str">
        <v>LC-130</v>
      </c>
      <c r="AC117" s="435">
        <v>45337</v>
      </c>
      <c r="AD117" s="462" t="str">
        <v>Yes</v>
      </c>
      <c r="AE117" s="462" t="str">
        <v>FY24 inter</v>
      </c>
      <c r="AF117" s="462" t="str">
        <v>FY24 intra</v>
      </c>
      <c r="AG117" s="435" t="str">
        <v>D. Tosi</v>
      </c>
      <c r="AH117" s="435">
        <v>44461</v>
      </c>
      <c r="AI117" s="435" t="str">
        <v>I. McEwen</v>
      </c>
      <c r="AJ117" s="435">
        <v>44461</v>
      </c>
      <c r="AK117" s="462">
        <v>0</v>
      </c>
      <c r="AL117" s="451">
        <v>0</v>
      </c>
    </row>
    <row r="118" spans="1:38" ht="33.950000000000003">
      <c r="A118" s="478">
        <v>1.5</v>
      </c>
      <c r="B118" s="479" t="str">
        <v>Installation</v>
      </c>
      <c r="C118" s="481" t="str">
        <v>Calibration/Special Devices 87-88</v>
      </c>
      <c r="D118" s="465" t="str">
        <v>3+1 PencilBeams from UW, 2+1 pDOM and 1+1 LOMs - Do Not Deep Freeze</v>
      </c>
      <c r="E118" s="482">
        <v>58</v>
      </c>
      <c r="F118" s="482">
        <v>38</v>
      </c>
      <c r="G118" s="482">
        <v>41</v>
      </c>
      <c r="H118" s="445">
        <v>1</v>
      </c>
      <c r="I118" s="441">
        <v>52.293981481481481</v>
      </c>
      <c r="J118" s="441">
        <v>836</v>
      </c>
      <c r="K118" s="441">
        <v>836</v>
      </c>
      <c r="L118" s="485" t="str">
        <v>estimated</v>
      </c>
      <c r="M118" s="484" t="str">
        <v>DNDF [-40C]</v>
      </c>
      <c r="N118" s="462" t="str">
        <v xml:space="preserve"> U. Wisc. Madison</v>
      </c>
      <c r="O118" s="473">
        <v>244</v>
      </c>
      <c r="P118" s="429">
        <v>44895</v>
      </c>
      <c r="Q118" s="429" t="str">
        <v>UWM - PTH</v>
      </c>
      <c r="R118" s="429">
        <v>45139</v>
      </c>
      <c r="S118" s="457" t="str">
        <v>Truck</v>
      </c>
      <c r="T118" s="458" t="str">
        <v>PTH - CHC</v>
      </c>
      <c r="U118" s="458" t="str">
        <v>-</v>
      </c>
      <c r="V118" s="459" t="str">
        <v>ComSur</v>
      </c>
      <c r="W118" s="460" t="str">
        <v>CHC-MCM</v>
      </c>
      <c r="X118" s="460" t="str">
        <v>-</v>
      </c>
      <c r="Y118" s="435" t="str">
        <v>USAP Air</v>
      </c>
      <c r="Z118" s="426">
        <v>45231</v>
      </c>
      <c r="AA118" s="435" t="str">
        <v>-</v>
      </c>
      <c r="AB118" s="435" t="str">
        <v>LC-130</v>
      </c>
      <c r="AC118" s="435">
        <v>45275</v>
      </c>
      <c r="AD118" s="462" t="str">
        <v>Yes</v>
      </c>
      <c r="AE118" s="462" t="str">
        <v>FY24 inter</v>
      </c>
      <c r="AF118" s="462" t="str">
        <v>FY24 intra</v>
      </c>
      <c r="AG118" s="435" t="str">
        <v>D. Williams</v>
      </c>
      <c r="AH118" s="435">
        <v>44482</v>
      </c>
      <c r="AI118" s="435" t="str">
        <v>D. Tosi</v>
      </c>
      <c r="AJ118" s="435">
        <v>44482</v>
      </c>
      <c r="AK118" s="462">
        <v>0</v>
      </c>
      <c r="AL118" s="451">
        <v>0</v>
      </c>
    </row>
    <row r="119" spans="1:38" ht="51">
      <c r="A119" s="474">
        <v>1.3</v>
      </c>
      <c r="B119" s="475" t="str">
        <v>Installation</v>
      </c>
      <c r="C119" s="465" t="str">
        <v>Special Devices 87-88</v>
      </c>
      <c r="D119" s="465" t="str">
        <v>Special devices for 2 strings from UW (4+1 Radio Pulsers (all strings) 1+1 Radio Receivers, 3+1 FOM)  - Do Not Deep Freeze</v>
      </c>
      <c r="E119" s="449">
        <v>63</v>
      </c>
      <c r="F119" s="449">
        <v>40</v>
      </c>
      <c r="G119" s="449">
        <v>42</v>
      </c>
      <c r="H119" s="449">
        <v>1</v>
      </c>
      <c r="I119" s="441">
        <v>61.25</v>
      </c>
      <c r="J119" s="441">
        <v>677</v>
      </c>
      <c r="K119" s="441">
        <v>677</v>
      </c>
      <c r="L119" s="485" t="str">
        <v>preliminary</v>
      </c>
      <c r="M119" s="463" t="str">
        <v>DNDF [-40C]</v>
      </c>
      <c r="N119" s="462" t="str">
        <v>UWM/Kansas</v>
      </c>
      <c r="O119" s="473">
        <v>212</v>
      </c>
      <c r="P119" s="429">
        <v>44927</v>
      </c>
      <c r="Q119" s="429" t="str">
        <v>UWM - PTH</v>
      </c>
      <c r="R119" s="429">
        <v>45139</v>
      </c>
      <c r="S119" s="457" t="str">
        <v>Truck</v>
      </c>
      <c r="T119" s="458" t="str">
        <v>PTH - CHC</v>
      </c>
      <c r="U119" s="458" t="str">
        <v>-</v>
      </c>
      <c r="V119" s="459" t="str">
        <v>ComSur</v>
      </c>
      <c r="W119" s="460" t="str">
        <v>CHC-MCM</v>
      </c>
      <c r="X119" s="460" t="str">
        <v>-</v>
      </c>
      <c r="Y119" s="435" t="str">
        <v>USAP Air</v>
      </c>
      <c r="Z119" s="426">
        <v>45231</v>
      </c>
      <c r="AA119" s="435" t="str">
        <v>-</v>
      </c>
      <c r="AB119" s="435" t="str">
        <v>LC-130</v>
      </c>
      <c r="AC119" s="435">
        <v>45275</v>
      </c>
      <c r="AD119" s="462" t="str">
        <v>Yes</v>
      </c>
      <c r="AE119" s="462" t="str">
        <v>FY24 inter</v>
      </c>
      <c r="AF119" s="462" t="str">
        <v>FY24 intra</v>
      </c>
      <c r="AG119" s="435" t="str">
        <v>S. Boeser</v>
      </c>
      <c r="AH119" s="435">
        <v>44482</v>
      </c>
      <c r="AI119" s="435" t="str">
        <v>D. Tosi</v>
      </c>
      <c r="AJ119" s="435">
        <v>44482</v>
      </c>
      <c r="AK119" s="462" t="str">
        <v>4+1 Radio Pulser, weight  50 kg. 1+1 Radio receiver, assume mDOM weight, 3+1 FOM (assume mDOM weight) + 2ftx2ftx4ft FOM box (50 lbs).  Special Devices from UW. FTS, seismometer missing from estimate.  250 lbs crate estimate</v>
      </c>
      <c r="AL119" s="451">
        <v>0</v>
      </c>
    </row>
    <row r="120" spans="1:38" ht="33.950000000000003">
      <c r="A120" s="474">
        <v>1.2</v>
      </c>
      <c r="B120" s="475" t="str">
        <v>Installation</v>
      </c>
      <c r="C120" s="465" t="str">
        <v>Misc. Science Equipment - FY24</v>
      </c>
      <c r="D120" s="465" t="str">
        <v xml:space="preserve">Scientific and test equipment (SPAT, DCM et al.) - Do Not Freeze </v>
      </c>
      <c r="E120" s="449">
        <v>48</v>
      </c>
      <c r="F120" s="449">
        <v>48</v>
      </c>
      <c r="G120" s="449">
        <v>48</v>
      </c>
      <c r="H120" s="449">
        <v>1</v>
      </c>
      <c r="I120" s="441">
        <v>64</v>
      </c>
      <c r="J120" s="441">
        <v>1500</v>
      </c>
      <c r="K120" s="441">
        <v>1500</v>
      </c>
      <c r="L120" s="485" t="str">
        <v>estimated</v>
      </c>
      <c r="M120" s="463" t="str">
        <v>DNF</v>
      </c>
      <c r="N120" s="462" t="str">
        <v xml:space="preserve"> U. Wisc. Madison</v>
      </c>
      <c r="O120" s="473">
        <v>61</v>
      </c>
      <c r="P120" s="429">
        <v>45078</v>
      </c>
      <c r="Q120" s="429" t="str">
        <v>UWM - PTH</v>
      </c>
      <c r="R120" s="429">
        <v>45139</v>
      </c>
      <c r="S120" s="457" t="str">
        <v>Truck</v>
      </c>
      <c r="T120" s="458" t="str">
        <v>PTH - CHC</v>
      </c>
      <c r="U120" s="458" t="str">
        <v>-</v>
      </c>
      <c r="V120" s="459" t="str">
        <v>ComSur</v>
      </c>
      <c r="W120" s="460" t="str">
        <v>CHC-MCM</v>
      </c>
      <c r="X120" s="460" t="str">
        <v>-</v>
      </c>
      <c r="Y120" s="435" t="str">
        <v>USAP Air</v>
      </c>
      <c r="Z120" s="426">
        <v>45231</v>
      </c>
      <c r="AA120" s="435" t="str">
        <v>-</v>
      </c>
      <c r="AB120" s="435" t="str">
        <v>LC-130</v>
      </c>
      <c r="AC120" s="435">
        <v>45261</v>
      </c>
      <c r="AD120" s="462" t="str">
        <v>Yes</v>
      </c>
      <c r="AE120" s="462" t="str">
        <v>FY24 inter</v>
      </c>
      <c r="AF120" s="462" t="str">
        <v>FY24 intra</v>
      </c>
      <c r="AG120" s="435" t="str">
        <v>T. Karg</v>
      </c>
      <c r="AH120" s="435">
        <v>44477</v>
      </c>
      <c r="AI120" s="435" t="str">
        <v>D. Tosi</v>
      </c>
      <c r="AJ120" s="435">
        <v>44477</v>
      </c>
      <c r="AK120" s="462">
        <v>0</v>
      </c>
      <c r="AL120" s="451">
        <v>0</v>
      </c>
    </row>
    <row r="121" spans="1:38" ht="33.950000000000003">
      <c r="A121" s="474">
        <v>1.4</v>
      </c>
      <c r="B121" s="475" t="str">
        <v>Installation</v>
      </c>
      <c r="C121" s="465" t="str">
        <v>Surface Junction Boxes</v>
      </c>
      <c r="D121" s="465" t="str">
        <v xml:space="preserve">Surface Junction Boxes  can overwinter in McM if shipped earlier. 7 junction boxes </v>
      </c>
      <c r="E121" s="449">
        <v>66</v>
      </c>
      <c r="F121" s="449">
        <v>30</v>
      </c>
      <c r="G121" s="449">
        <v>14</v>
      </c>
      <c r="H121" s="449">
        <v>7</v>
      </c>
      <c r="I121" s="441">
        <v>112.29166666666667</v>
      </c>
      <c r="J121" s="441">
        <v>200</v>
      </c>
      <c r="K121" s="441">
        <v>1400</v>
      </c>
      <c r="L121" s="485" t="str">
        <v>preliminary</v>
      </c>
      <c r="M121" s="463">
        <v>0</v>
      </c>
      <c r="N121" s="462" t="str">
        <v>MSU</v>
      </c>
      <c r="O121" s="473">
        <v>14</v>
      </c>
      <c r="P121" s="429">
        <v>44866</v>
      </c>
      <c r="Q121" s="429" t="str">
        <v>MSU - PTH</v>
      </c>
      <c r="R121" s="429">
        <v>44880</v>
      </c>
      <c r="S121" s="457" t="str">
        <v>Truck</v>
      </c>
      <c r="T121" s="458" t="str">
        <v>PTH - MCM</v>
      </c>
      <c r="U121" s="458" t="str">
        <v>-</v>
      </c>
      <c r="V121" s="459" t="str">
        <v>USAP Vessel</v>
      </c>
      <c r="W121" s="460" t="str">
        <v>USAP Vessel</v>
      </c>
      <c r="X121" s="460" t="str">
        <v>-</v>
      </c>
      <c r="Y121" s="435" t="str">
        <v>-</v>
      </c>
      <c r="Z121" s="426">
        <v>44963</v>
      </c>
      <c r="AA121" s="435" t="str">
        <v>-</v>
      </c>
      <c r="AB121" s="435" t="str">
        <v>LC-130/SPoT</v>
      </c>
      <c r="AC121" s="435">
        <v>45270</v>
      </c>
      <c r="AD121" s="462" t="str">
        <v>Yes</v>
      </c>
      <c r="AE121" s="462" t="str">
        <v>FY23 inter</v>
      </c>
      <c r="AF121" s="462" t="str">
        <v>FY24 intra</v>
      </c>
      <c r="AG121" s="435" t="str">
        <v>T. DeYoung</v>
      </c>
      <c r="AH121" s="435">
        <v>44482</v>
      </c>
      <c r="AI121" s="435" t="str">
        <v>D. Tosi</v>
      </c>
      <c r="AJ121" s="435">
        <v>44480</v>
      </c>
      <c r="AK121" s="462" t="str">
        <v>Each is 66" x 30" x 14", each is 112 lbs. Assume Folding crate. Simple passive objects, work plan can probably be shifted to increase float.</v>
      </c>
      <c r="AL121" s="451">
        <v>0</v>
      </c>
    </row>
    <row r="122" spans="1:38" ht="33.950000000000003">
      <c r="A122" s="474">
        <v>1.4</v>
      </c>
      <c r="B122" s="475" t="str">
        <v>Installation</v>
      </c>
      <c r="C122" s="465" t="str">
        <v>Surface Cable Assemblies</v>
      </c>
      <c r="D122" s="465" t="str">
        <v xml:space="preserve">Palletized wooden cable drums (Qty: 7). Can overwinter in MCM. </v>
      </c>
      <c r="E122" s="449">
        <v>48</v>
      </c>
      <c r="F122" s="449">
        <v>65</v>
      </c>
      <c r="G122" s="449">
        <v>71</v>
      </c>
      <c r="H122" s="449">
        <v>7</v>
      </c>
      <c r="I122" s="441">
        <v>897.3611111111112</v>
      </c>
      <c r="J122" s="441">
        <v>1335.7142857142858</v>
      </c>
      <c r="K122" s="441">
        <v>9350</v>
      </c>
      <c r="L122" s="485" t="str">
        <v>actual</v>
      </c>
      <c r="M122" s="463">
        <v>0</v>
      </c>
      <c r="N122" s="462" t="str">
        <v>MSU</v>
      </c>
      <c r="O122" s="473">
        <v>366</v>
      </c>
      <c r="P122" s="429">
        <v>44530</v>
      </c>
      <c r="Q122" s="429" t="str">
        <v>MSU - PTH</v>
      </c>
      <c r="R122" s="429">
        <v>44896</v>
      </c>
      <c r="S122" s="457" t="str">
        <v>Truck</v>
      </c>
      <c r="T122" s="458" t="str">
        <v>PTH - MCM</v>
      </c>
      <c r="U122" s="458" t="str">
        <v>-</v>
      </c>
      <c r="V122" s="459" t="str">
        <v>USAP Vessel</v>
      </c>
      <c r="W122" s="460" t="str">
        <v>USAP Vessel</v>
      </c>
      <c r="X122" s="460" t="str">
        <v>-</v>
      </c>
      <c r="Y122" s="435" t="str">
        <v>-</v>
      </c>
      <c r="Z122" s="426">
        <v>44963</v>
      </c>
      <c r="AA122" s="435" t="str">
        <v>-</v>
      </c>
      <c r="AB122" s="435" t="str">
        <v>LC-130</v>
      </c>
      <c r="AC122" s="435">
        <v>45250</v>
      </c>
      <c r="AD122" s="462" t="str">
        <v>Yes</v>
      </c>
      <c r="AE122" s="462" t="str">
        <v>FY23 inter</v>
      </c>
      <c r="AF122" s="462" t="str">
        <v>FY24 intra</v>
      </c>
      <c r="AG122" s="435" t="str">
        <v>T. DeYoung</v>
      </c>
      <c r="AH122" s="435">
        <v>44482</v>
      </c>
      <c r="AI122" s="435" t="str">
        <v>D. Tosi</v>
      </c>
      <c r="AJ122" s="435">
        <v>44480</v>
      </c>
      <c r="AK122" s="462">
        <v>0</v>
      </c>
      <c r="AL122" s="451">
        <v>0</v>
      </c>
    </row>
    <row r="123" spans="1:38" ht="51">
      <c r="A123" s="474">
        <v>1.4</v>
      </c>
      <c r="B123" s="475" t="str">
        <v>Installation</v>
      </c>
      <c r="C123" s="465" t="str">
        <v>Breakout cables for strings 87-88</v>
      </c>
      <c r="D123" s="465" t="str">
        <v>Standard vessel shipping.  2 wooden crates containing spooled breakout cable assemblies - 96 cf / 1,000 lbs each - Do Not Deep Freeze</v>
      </c>
      <c r="E123" s="449">
        <v>72</v>
      </c>
      <c r="F123" s="449">
        <v>48</v>
      </c>
      <c r="G123" s="449">
        <v>48</v>
      </c>
      <c r="H123" s="441">
        <v>2</v>
      </c>
      <c r="I123" s="436">
        <v>192</v>
      </c>
      <c r="J123" s="436">
        <v>1000</v>
      </c>
      <c r="K123" s="441">
        <v>2000</v>
      </c>
      <c r="L123" s="485" t="str">
        <v>estimated</v>
      </c>
      <c r="M123" s="476" t="str">
        <v>DNDF[-40C](*)</v>
      </c>
      <c r="N123" s="462" t="str">
        <v>MSU</v>
      </c>
      <c r="O123" s="473">
        <v>46</v>
      </c>
      <c r="P123" s="429">
        <v>44985</v>
      </c>
      <c r="Q123" s="429" t="str">
        <v>MSU - PTH</v>
      </c>
      <c r="R123" s="429">
        <v>45031</v>
      </c>
      <c r="S123" s="457" t="str">
        <v>Truck</v>
      </c>
      <c r="T123" s="458" t="str">
        <v>PTH - MCM</v>
      </c>
      <c r="U123" s="458" t="str">
        <v>-</v>
      </c>
      <c r="V123" s="459" t="str">
        <v>USAP Vessel</v>
      </c>
      <c r="W123" s="460" t="str">
        <v>USAP Vessel</v>
      </c>
      <c r="X123" s="460" t="str">
        <v>-</v>
      </c>
      <c r="Y123" s="435" t="str">
        <v>-</v>
      </c>
      <c r="Z123" s="426">
        <v>45328</v>
      </c>
      <c r="AA123" s="435" t="str">
        <v>-</v>
      </c>
      <c r="AB123" s="435" t="str">
        <v>LC-130</v>
      </c>
      <c r="AC123" s="435">
        <v>45337</v>
      </c>
      <c r="AD123" s="462" t="str">
        <v>Yes</v>
      </c>
      <c r="AE123" s="462" t="str">
        <v>FY24 inter</v>
      </c>
      <c r="AF123" s="462" t="str">
        <v>FY24 intra</v>
      </c>
      <c r="AG123" s="435" t="str">
        <v>T. DeYoung</v>
      </c>
      <c r="AH123" s="435">
        <v>44459</v>
      </c>
      <c r="AI123" s="435" t="str">
        <v>D. Tosi</v>
      </c>
      <c r="AJ123" s="435">
        <v>44480</v>
      </c>
      <c r="AK123" s="462" t="str">
        <v>Shipping date early due to storage limitations at MSU. Additional float at Port Hueneme assuming USAP vessel departure.  Preliminary estimate of weight and size.  Pre-staging string 87-88 equipment in cryo or ICL. - if shipping to Pole not possible before end of 23/24 season could overwinter in McM (at an increased risk and pending low temperature test) (*)</v>
      </c>
      <c r="AL123" s="451">
        <v>0</v>
      </c>
    </row>
    <row r="124" spans="1:38" ht="68.099999999999994">
      <c r="A124" s="474">
        <v>1.3</v>
      </c>
      <c r="B124" s="475" t="str">
        <v>Installation</v>
      </c>
      <c r="C124" s="465" t="str">
        <v>String Sensors 87-88</v>
      </c>
      <c r="D124" s="465" t="str">
        <v>Optical sensors for 2 strings from Germany (mDOMs) (spares included) - Do Not Deep Freeze</v>
      </c>
      <c r="E124" s="449">
        <v>40</v>
      </c>
      <c r="F124" s="449">
        <v>48</v>
      </c>
      <c r="G124" s="449">
        <v>46</v>
      </c>
      <c r="H124" s="439">
        <v>16</v>
      </c>
      <c r="I124" s="436">
        <v>817.77777777777783</v>
      </c>
      <c r="J124" s="436">
        <v>573</v>
      </c>
      <c r="K124" s="441">
        <v>9168</v>
      </c>
      <c r="L124" s="485" t="str">
        <v>actual</v>
      </c>
      <c r="M124" s="476" t="str">
        <v>DNDF [-40C]</v>
      </c>
      <c r="N124" s="462" t="str">
        <v>DESY</v>
      </c>
      <c r="O124" s="473">
        <v>122</v>
      </c>
      <c r="P124" s="429">
        <v>45017</v>
      </c>
      <c r="Q124" s="429" t="str">
        <v>DESY - CHC</v>
      </c>
      <c r="R124" s="429">
        <v>45139</v>
      </c>
      <c r="S124" s="457" t="str">
        <v>ComSur</v>
      </c>
      <c r="T124" s="458" t="str">
        <v>DESY-CHC</v>
      </c>
      <c r="U124" s="458" t="str">
        <v>-</v>
      </c>
      <c r="V124" s="459" t="str">
        <v>ComSur</v>
      </c>
      <c r="W124" s="460" t="str">
        <v>CHC - MCM</v>
      </c>
      <c r="X124" s="460" t="str">
        <v>-</v>
      </c>
      <c r="Y124" s="435" t="str">
        <v>USAP  Air</v>
      </c>
      <c r="Z124" s="426">
        <v>45231</v>
      </c>
      <c r="AA124" s="435" t="str">
        <v>-</v>
      </c>
      <c r="AB124" s="435" t="str">
        <v>LC-130</v>
      </c>
      <c r="AC124" s="435">
        <v>45306</v>
      </c>
      <c r="AD124" s="462" t="str">
        <v>Yes</v>
      </c>
      <c r="AE124" s="462" t="str">
        <v>FY24 inter</v>
      </c>
      <c r="AF124" s="462" t="str">
        <v>FY24 intra</v>
      </c>
      <c r="AG124" s="435" t="str">
        <v>T. Karg</v>
      </c>
      <c r="AH124" s="435">
        <v>44459</v>
      </c>
      <c r="AI124" s="435" t="str">
        <v>D. Tosi</v>
      </c>
      <c r="AJ124" s="435">
        <v>44461</v>
      </c>
      <c r="AK124" s="462" t="str">
        <v>mDOM weight is 62 lbs (25kg/sensor + 3 kg/box) + 35kg pallet, assume 8 mDOMs/pallet - 116 to be deployed + 12 spares - 
shipped in 20 HC container. Container weight not included in the assumption that pallet will be taken out in CHC.</v>
      </c>
      <c r="AL124" s="451">
        <v>0</v>
      </c>
    </row>
    <row r="125" spans="1:38" ht="51">
      <c r="A125" s="470">
        <v>1.3</v>
      </c>
      <c r="B125" s="453" t="str">
        <v>Installation</v>
      </c>
      <c r="C125" s="471" t="str">
        <v>String Sensors 87-88</v>
      </c>
      <c r="D125" s="472" t="str">
        <v>Optical sensors for 2 strings from Germany (mDOMs) (SPARES) - Do Not Deep Freeze</v>
      </c>
      <c r="E125" s="441">
        <v>40</v>
      </c>
      <c r="F125" s="441">
        <v>48</v>
      </c>
      <c r="G125" s="441">
        <v>46</v>
      </c>
      <c r="H125" s="441">
        <v>0</v>
      </c>
      <c r="I125" s="441">
        <v>0</v>
      </c>
      <c r="J125" s="441">
        <v>573</v>
      </c>
      <c r="K125" s="441">
        <v>0</v>
      </c>
      <c r="L125" s="462" t="str">
        <v>actual</v>
      </c>
      <c r="M125" s="462" t="str">
        <v>DNDF [-40C]</v>
      </c>
      <c r="N125" s="462" t="str">
        <v>DESY</v>
      </c>
      <c r="O125" s="473">
        <v>122</v>
      </c>
      <c r="P125" s="429">
        <v>45017</v>
      </c>
      <c r="Q125" s="429" t="str">
        <v>DESY - CHC</v>
      </c>
      <c r="R125" s="429">
        <v>45139</v>
      </c>
      <c r="S125" s="457" t="str">
        <v>ComSur</v>
      </c>
      <c r="T125" s="458" t="str">
        <v>DESY-CHC</v>
      </c>
      <c r="U125" s="458" t="str">
        <v>-</v>
      </c>
      <c r="V125" s="459" t="str">
        <v>ComSur</v>
      </c>
      <c r="W125" s="460" t="str">
        <v>CHC - MCM</v>
      </c>
      <c r="X125" s="460" t="str">
        <v>-</v>
      </c>
      <c r="Y125" s="88" t="str">
        <v>USAP  Air</v>
      </c>
      <c r="Z125" s="426">
        <v>45231</v>
      </c>
      <c r="AA125" s="435" t="str">
        <v>-</v>
      </c>
      <c r="AB125" s="435" t="str">
        <v>LC-130</v>
      </c>
      <c r="AC125" s="435">
        <v>45306</v>
      </c>
      <c r="AD125" s="462" t="str">
        <v>Yes</v>
      </c>
      <c r="AE125" s="462" t="str">
        <v>FY24 inter</v>
      </c>
      <c r="AF125" s="462" t="str">
        <v>FY24 intra</v>
      </c>
      <c r="AG125" s="435" t="str">
        <v>T. Karg</v>
      </c>
      <c r="AH125" s="435">
        <v>44459</v>
      </c>
      <c r="AI125" s="435" t="str">
        <v>D. Tosi</v>
      </c>
      <c r="AJ125" s="435">
        <v>44461</v>
      </c>
      <c r="AK125" s="462" t="str">
        <v>mDOM weight is 62 lbs (25kg/sensor + 3 kg/box) + 35kg pallet, assume 8 mDOMs/pallet - shipped in 20 HC container. Container weight not included in the assumption that pallet will be taken out in CHC.</v>
      </c>
      <c r="AL125" s="451">
        <v>0</v>
      </c>
    </row>
    <row r="126" spans="1:38" ht="51">
      <c r="A126" s="474">
        <v>1.3</v>
      </c>
      <c r="B126" s="475" t="str">
        <v>Installation</v>
      </c>
      <c r="C126" s="465" t="str">
        <v>Special Devices 87-88</v>
      </c>
      <c r="D126" s="465" t="str">
        <v>Special devices for 2 strings from DESY/Germany/Sweden (8 WOMs, 0 Abalone) + spares - Do Not Deep Freeze</v>
      </c>
      <c r="E126" s="441">
        <v>40</v>
      </c>
      <c r="F126" s="441">
        <v>21</v>
      </c>
      <c r="G126" s="441">
        <v>64</v>
      </c>
      <c r="H126" s="445">
        <v>1</v>
      </c>
      <c r="I126" s="441">
        <v>31.111111111111111</v>
      </c>
      <c r="J126" s="441">
        <v>701</v>
      </c>
      <c r="K126" s="441">
        <v>701</v>
      </c>
      <c r="L126" s="462" t="str">
        <v>estimated</v>
      </c>
      <c r="M126" s="476" t="str">
        <v>DNDF [-40C]</v>
      </c>
      <c r="N126" s="462" t="str">
        <v>Mainz</v>
      </c>
      <c r="O126" s="473">
        <v>212</v>
      </c>
      <c r="P126" s="429">
        <v>44927</v>
      </c>
      <c r="Q126" s="429" t="str">
        <v>DESY - CHC</v>
      </c>
      <c r="R126" s="429">
        <v>45139</v>
      </c>
      <c r="S126" s="457" t="str">
        <v>ComSur</v>
      </c>
      <c r="T126" s="458" t="str">
        <v>DESY-CHC</v>
      </c>
      <c r="U126" s="458" t="str">
        <v>-</v>
      </c>
      <c r="V126" s="459" t="str">
        <v>ComSur</v>
      </c>
      <c r="W126" s="460" t="str">
        <v>CHC - MCM</v>
      </c>
      <c r="X126" s="460" t="str">
        <v>-</v>
      </c>
      <c r="Y126" s="88" t="str">
        <v>USAP  Air</v>
      </c>
      <c r="Z126" s="426">
        <v>45231</v>
      </c>
      <c r="AA126" s="435" t="str">
        <v>-</v>
      </c>
      <c r="AB126" s="435" t="str">
        <v>LC-130</v>
      </c>
      <c r="AC126" s="435">
        <v>45306</v>
      </c>
      <c r="AD126" s="462" t="str">
        <v>Yes</v>
      </c>
      <c r="AE126" s="462" t="str">
        <v>FY24 inter</v>
      </c>
      <c r="AF126" s="462" t="str">
        <v>FY24 intra</v>
      </c>
      <c r="AG126" s="435" t="str">
        <v>S. Boeser</v>
      </c>
      <c r="AH126" s="435">
        <v>44482</v>
      </c>
      <c r="AI126" s="435" t="str">
        <v>D. Tosi</v>
      </c>
      <c r="AJ126" s="435">
        <v>44482</v>
      </c>
      <c r="AK126" s="462" t="str">
        <v xml:space="preserve">8 WOMs (no spares) - AH not included for now. Assume 150 lbs crate.  </v>
      </c>
      <c r="AL126" s="451">
        <v>0</v>
      </c>
    </row>
    <row r="127" spans="1:38" ht="68.099999999999994">
      <c r="A127" s="477">
        <v>1.5</v>
      </c>
      <c r="B127" s="475" t="str">
        <v>Installation</v>
      </c>
      <c r="C127" s="472" t="str">
        <v>Calibration Devices 87-88</v>
      </c>
      <c r="D127" s="472" t="str">
        <v>Calibration devices for 2 strings from DESY/Germany/Sweden (4+2 POCAMs, 3+1 Acoustic sensors,  2+1 Swedish Cameras) - Do Not Deep Freeze</v>
      </c>
      <c r="E127" s="445">
        <v>62</v>
      </c>
      <c r="F127" s="445">
        <v>38</v>
      </c>
      <c r="G127" s="445">
        <v>41</v>
      </c>
      <c r="H127" s="445">
        <v>1</v>
      </c>
      <c r="I127" s="441">
        <v>55.900462962962962</v>
      </c>
      <c r="J127" s="441">
        <v>836</v>
      </c>
      <c r="K127" s="441">
        <v>836</v>
      </c>
      <c r="L127" s="462" t="str">
        <v>estimated</v>
      </c>
      <c r="M127" s="463" t="str">
        <v>DNDF [-40C]</v>
      </c>
      <c r="N127" s="462" t="str">
        <v>TUM/Aachen/Sweden</v>
      </c>
      <c r="O127" s="473">
        <v>426</v>
      </c>
      <c r="P127" s="429">
        <v>44713</v>
      </c>
      <c r="Q127" s="429" t="str">
        <v>DESY - CHC</v>
      </c>
      <c r="R127" s="429">
        <v>45139</v>
      </c>
      <c r="S127" s="457" t="str">
        <v>ComSur</v>
      </c>
      <c r="T127" s="458" t="str">
        <v>DESY-CHC</v>
      </c>
      <c r="U127" s="458" t="str">
        <v>-</v>
      </c>
      <c r="V127" s="459" t="str">
        <v>ComSur</v>
      </c>
      <c r="W127" s="460" t="str">
        <v>CHC-MCM</v>
      </c>
      <c r="X127" s="460" t="str">
        <v>-</v>
      </c>
      <c r="Y127" s="88" t="str">
        <v>USAP  Air</v>
      </c>
      <c r="Z127" s="426">
        <v>45231</v>
      </c>
      <c r="AA127" s="435" t="str">
        <v>-</v>
      </c>
      <c r="AB127" s="435" t="str">
        <v>LC-130</v>
      </c>
      <c r="AC127" s="435">
        <v>45306</v>
      </c>
      <c r="AD127" s="462" t="str">
        <v>Yes</v>
      </c>
      <c r="AE127" s="462" t="str">
        <v>FY24 inter</v>
      </c>
      <c r="AF127" s="462" t="str">
        <v>FY24 intra</v>
      </c>
      <c r="AG127" s="435" t="str">
        <v>D. Williams</v>
      </c>
      <c r="AH127" s="435">
        <v>44482</v>
      </c>
      <c r="AI127" s="435" t="str">
        <v>D. Tosi</v>
      </c>
      <c r="AJ127" s="435">
        <v>44482</v>
      </c>
      <c r="AK127" s="462" t="str">
        <v>Calibration devices for strings 87-88 = 2+1 Sweden Camera + 3+1 Acoustic Module + 4+1 POCAM, including spares, 200 lbs crate</v>
      </c>
      <c r="AL127" s="451">
        <v>0</v>
      </c>
    </row>
    <row r="128" spans="1:38" ht="51">
      <c r="A128" s="470">
        <v>1.4</v>
      </c>
      <c r="B128" s="453" t="str">
        <v>Installation</v>
      </c>
      <c r="C128" s="471" t="str">
        <v>FieldHub electronics</v>
      </c>
      <c r="D128" s="471" t="str">
        <v>Required onsite for FY24 installation. 1 crate containing readout electronics for installation in ICL - Do Not Freeze</v>
      </c>
      <c r="E128" s="441">
        <v>48</v>
      </c>
      <c r="F128" s="441">
        <v>48</v>
      </c>
      <c r="G128" s="441">
        <v>36</v>
      </c>
      <c r="H128" s="441">
        <v>1</v>
      </c>
      <c r="I128" s="441">
        <v>48</v>
      </c>
      <c r="J128" s="441">
        <v>275</v>
      </c>
      <c r="K128" s="441">
        <v>275</v>
      </c>
      <c r="L128" s="462" t="str">
        <v>preliminary</v>
      </c>
      <c r="M128" s="462" t="str">
        <v>DNF</v>
      </c>
      <c r="N128" s="462" t="str">
        <v>DESY</v>
      </c>
      <c r="O128" s="473">
        <v>14</v>
      </c>
      <c r="P128" s="429">
        <v>45139</v>
      </c>
      <c r="Q128" s="429" t="str">
        <v>DESY - CHC</v>
      </c>
      <c r="R128" s="429">
        <v>45153</v>
      </c>
      <c r="S128" s="457" t="str">
        <v>ComSur</v>
      </c>
      <c r="T128" s="458" t="str">
        <v>DESY-CHC</v>
      </c>
      <c r="U128" s="458" t="str">
        <v>-</v>
      </c>
      <c r="V128" s="459" t="str">
        <v>ComSur</v>
      </c>
      <c r="W128" s="460" t="str">
        <v>CHC-MCM</v>
      </c>
      <c r="X128" s="460" t="str">
        <v>-</v>
      </c>
      <c r="Y128" s="88" t="str">
        <v>USAP  Air</v>
      </c>
      <c r="Z128" s="426">
        <v>45231</v>
      </c>
      <c r="AA128" s="435" t="str">
        <v>-</v>
      </c>
      <c r="AB128" s="435" t="str">
        <v>LC-130</v>
      </c>
      <c r="AC128" s="435">
        <v>45261</v>
      </c>
      <c r="AD128" s="462" t="str">
        <v>No</v>
      </c>
      <c r="AE128" s="462" t="str">
        <v>FY24 inter</v>
      </c>
      <c r="AF128" s="462" t="str">
        <v>FY24 intra</v>
      </c>
      <c r="AG128" s="435" t="str">
        <v>J. Kelley</v>
      </c>
      <c r="AH128" s="435">
        <v>44482</v>
      </c>
      <c r="AI128" s="435" t="str">
        <v>D. Tosi</v>
      </c>
      <c r="AJ128" s="435">
        <v>44482</v>
      </c>
      <c r="AK128" s="462" t="str">
        <v>Field Hubs are 442mm x 480mm x 133 mm (17.4" x 18.9" x 5.2") and weight maybe 10 lb each.  100 lbs crate. Ready to ship date actually chosen to be 2 weeks ahead of ship date to maximize time with the electronics (sort of backloaded)</v>
      </c>
      <c r="AL128" s="451">
        <v>0</v>
      </c>
    </row>
    <row r="129" spans="1:38" ht="33.950000000000003">
      <c r="A129" s="470">
        <v>1.3</v>
      </c>
      <c r="B129" s="453" t="str">
        <v>Installation</v>
      </c>
      <c r="C129" s="471" t="str">
        <v>String Sensors 87 &amp; 88</v>
      </c>
      <c r="D129" s="471" t="str">
        <v>Sensors (D-Eggs) pallets with 8 sensors  at Pole overwinter - Cryo location - Do Not Deep Freeze</v>
      </c>
      <c r="E129" s="441">
        <v>41</v>
      </c>
      <c r="F129" s="441">
        <v>41</v>
      </c>
      <c r="G129" s="441">
        <v>69</v>
      </c>
      <c r="H129" s="441">
        <v>4</v>
      </c>
      <c r="I129" s="441">
        <v>268.49305555555554</v>
      </c>
      <c r="J129" s="441">
        <v>750</v>
      </c>
      <c r="K129" s="441">
        <v>3000</v>
      </c>
      <c r="L129" s="462" t="str">
        <v>actual</v>
      </c>
      <c r="M129" s="462" t="str">
        <v>DNDF [-40C]</v>
      </c>
      <c r="N129" s="462" t="str">
        <v>Chiba</v>
      </c>
      <c r="O129" s="473">
        <v>426</v>
      </c>
      <c r="P129" s="429">
        <v>44713</v>
      </c>
      <c r="Q129" s="429" t="str">
        <v>ChibaU - CHC</v>
      </c>
      <c r="R129" s="429">
        <v>45139</v>
      </c>
      <c r="S129" s="457" t="str">
        <v>Cargo shipment by CHU</v>
      </c>
      <c r="T129" s="458" t="str">
        <v>ChibaU - CHC</v>
      </c>
      <c r="U129" s="458" t="str">
        <v>-</v>
      </c>
      <c r="V129" s="459" t="str">
        <v>ComSur</v>
      </c>
      <c r="W129" s="460" t="str">
        <v>CHC - MCM</v>
      </c>
      <c r="X129" s="460" t="str">
        <v>-</v>
      </c>
      <c r="Y129" s="88" t="str">
        <v>USAP Air</v>
      </c>
      <c r="Z129" s="426">
        <v>45231</v>
      </c>
      <c r="AA129" s="435" t="str">
        <v>-</v>
      </c>
      <c r="AB129" s="435" t="str">
        <v>LC-130</v>
      </c>
      <c r="AC129" s="435">
        <v>45306</v>
      </c>
      <c r="AD129" s="462" t="str">
        <v>Yes</v>
      </c>
      <c r="AE129" s="462" t="str">
        <v>FY24 inter</v>
      </c>
      <c r="AF129" s="462" t="str">
        <v>FY24 intra</v>
      </c>
      <c r="AG129" s="435" t="str">
        <v>S. Yoshida</v>
      </c>
      <c r="AH129" s="435">
        <v>44461</v>
      </c>
      <c r="AI129" s="435" t="str">
        <v>D. Tosi</v>
      </c>
      <c r="AJ129" s="435">
        <v>44461</v>
      </c>
      <c r="AK129" s="462" t="str">
        <v>Pallet sizes are under review. shipped in 20 and 40ft container. Container weight not included in the assumption that pallet will be taken out in CHC.</v>
      </c>
      <c r="AL129" s="451">
        <v>0</v>
      </c>
    </row>
    <row r="130" spans="1:38" ht="51">
      <c r="A130" s="477">
        <v>1.3</v>
      </c>
      <c r="B130" s="475" t="str">
        <v>Installation</v>
      </c>
      <c r="C130" s="472" t="str">
        <v>String Sensors 87 &amp; 88</v>
      </c>
      <c r="D130" s="472" t="str">
        <v xml:space="preserve">Sensors (D-Eggs) pallets with 8 sensors  at Pole overwinter (SPARES - TBD) - Cryo location - Do Not Deep Freeze </v>
      </c>
      <c r="E130" s="445">
        <v>41</v>
      </c>
      <c r="F130" s="445">
        <v>41</v>
      </c>
      <c r="G130" s="445">
        <v>69</v>
      </c>
      <c r="H130" s="445">
        <v>1</v>
      </c>
      <c r="I130" s="441">
        <v>67.123263888888886</v>
      </c>
      <c r="J130" s="441">
        <v>750</v>
      </c>
      <c r="K130" s="441">
        <v>750</v>
      </c>
      <c r="L130" s="462" t="str">
        <v>actual</v>
      </c>
      <c r="M130" s="463" t="str">
        <v>DNDF [-40C]</v>
      </c>
      <c r="N130" s="462" t="str">
        <v>Chiba</v>
      </c>
      <c r="O130" s="473">
        <v>426</v>
      </c>
      <c r="P130" s="429">
        <v>44713</v>
      </c>
      <c r="Q130" s="429" t="str">
        <v>ChibaU - CHC</v>
      </c>
      <c r="R130" s="429">
        <v>45139</v>
      </c>
      <c r="S130" s="457" t="str">
        <v>Cargo shipment by CHU</v>
      </c>
      <c r="T130" s="458" t="str">
        <v>ChibaU - CHC</v>
      </c>
      <c r="U130" s="458" t="str">
        <v>-</v>
      </c>
      <c r="V130" s="459" t="str">
        <v>ComSur</v>
      </c>
      <c r="W130" s="460" t="str">
        <v>CHC - MCM</v>
      </c>
      <c r="X130" s="460" t="str">
        <v>-</v>
      </c>
      <c r="Y130" s="88" t="str">
        <v>USAP Air</v>
      </c>
      <c r="Z130" s="426">
        <v>45231</v>
      </c>
      <c r="AA130" s="435" t="str">
        <v>-</v>
      </c>
      <c r="AB130" s="435" t="str">
        <v>LC-130</v>
      </c>
      <c r="AC130" s="435">
        <v>45306</v>
      </c>
      <c r="AD130" s="462" t="str">
        <v>Yes</v>
      </c>
      <c r="AE130" s="462" t="str">
        <v>FY24 inter</v>
      </c>
      <c r="AF130" s="462" t="str">
        <v>FY24 intra</v>
      </c>
      <c r="AG130" s="435" t="str">
        <v>S. Yoshida</v>
      </c>
      <c r="AH130" s="435">
        <v>44461</v>
      </c>
      <c r="AI130" s="435" t="str">
        <v>D. Tosi</v>
      </c>
      <c r="AJ130" s="435">
        <v>44461</v>
      </c>
      <c r="AK130" s="462" t="str">
        <v>Pallet sizes are under review. SPARES number to be confirmed.  shipped in 20 and 40ft container. Container weight not included in the assumption that pallet will be taken out in CHC.</v>
      </c>
      <c r="AL130" s="451">
        <v>0</v>
      </c>
    </row>
    <row r="131" spans="1:38" ht="33.950000000000003">
      <c r="A131" s="477">
        <v>1.3</v>
      </c>
      <c r="B131" s="475" t="str">
        <v>Installation</v>
      </c>
      <c r="C131" s="472" t="str">
        <v>String Sensors 87 &amp; 88</v>
      </c>
      <c r="D131" s="472" t="str">
        <v>Sensors (D-Eggs) pallets with 12 sensors  at Pole overwinter - Cryo location - Do Not Deep Freeze</v>
      </c>
      <c r="E131" s="445">
        <v>60</v>
      </c>
      <c r="F131" s="445">
        <v>41</v>
      </c>
      <c r="G131" s="445">
        <v>69</v>
      </c>
      <c r="H131" s="445">
        <v>4</v>
      </c>
      <c r="I131" s="441">
        <v>392.91666666666669</v>
      </c>
      <c r="J131" s="441">
        <v>1102</v>
      </c>
      <c r="K131" s="441">
        <v>4408</v>
      </c>
      <c r="L131" s="462" t="str">
        <v>actual</v>
      </c>
      <c r="M131" s="463" t="str">
        <v>DNDF [-40C]</v>
      </c>
      <c r="N131" s="462" t="str">
        <v>Chiba</v>
      </c>
      <c r="O131" s="473">
        <v>426</v>
      </c>
      <c r="P131" s="429">
        <v>44713</v>
      </c>
      <c r="Q131" s="429" t="str">
        <v>ChibaU - CHC</v>
      </c>
      <c r="R131" s="429">
        <v>45139</v>
      </c>
      <c r="S131" s="457" t="str">
        <v>Cargo shipment by CHU</v>
      </c>
      <c r="T131" s="458" t="str">
        <v>ChibaU - CHC</v>
      </c>
      <c r="U131" s="458" t="str">
        <v>-</v>
      </c>
      <c r="V131" s="459" t="str">
        <v>ComSur</v>
      </c>
      <c r="W131" s="460" t="str">
        <v>CHC - MCM</v>
      </c>
      <c r="X131" s="460" t="str">
        <v>-</v>
      </c>
      <c r="Y131" s="88" t="str">
        <v>USAP Air</v>
      </c>
      <c r="Z131" s="426">
        <v>45231</v>
      </c>
      <c r="AA131" s="435" t="str">
        <v>-</v>
      </c>
      <c r="AB131" s="435" t="str">
        <v>LC-130</v>
      </c>
      <c r="AC131" s="435">
        <v>45306</v>
      </c>
      <c r="AD131" s="462" t="str">
        <v>Yes</v>
      </c>
      <c r="AE131" s="462" t="str">
        <v>FY24 inter</v>
      </c>
      <c r="AF131" s="462" t="str">
        <v>FY24 intra</v>
      </c>
      <c r="AG131" s="435" t="str">
        <v>S. Yoshida</v>
      </c>
      <c r="AH131" s="435">
        <v>44461</v>
      </c>
      <c r="AI131" s="435" t="str">
        <v>D. Tosi</v>
      </c>
      <c r="AJ131" s="435">
        <v>44461</v>
      </c>
      <c r="AK131" s="462" t="str">
        <v>Pallet sizes are under review. shipped in 20 and 40ft container. Container weight not included in the assumption that pallet will be taken out in CHC.</v>
      </c>
      <c r="AL131" s="451">
        <v>0</v>
      </c>
    </row>
    <row r="132" spans="1:38" ht="51">
      <c r="A132" s="470">
        <v>1.3</v>
      </c>
      <c r="B132" s="453" t="str">
        <v>Installation</v>
      </c>
      <c r="C132" s="471" t="str">
        <v>String Sensors 87 &amp; 88</v>
      </c>
      <c r="D132" s="471" t="str">
        <v>Sensors (D-Eggs) pallets with 12 sensors  at Pole overwinter (SPARES - TBD)- Cryo location - Do Not Deep Freeze</v>
      </c>
      <c r="E132" s="441">
        <v>60</v>
      </c>
      <c r="F132" s="441">
        <v>41</v>
      </c>
      <c r="G132" s="441">
        <v>69</v>
      </c>
      <c r="H132" s="441">
        <v>1</v>
      </c>
      <c r="I132" s="442">
        <v>98.229166666666671</v>
      </c>
      <c r="J132" s="442">
        <v>1102</v>
      </c>
      <c r="K132" s="441">
        <v>1102</v>
      </c>
      <c r="L132" s="455" t="str">
        <v>actual</v>
      </c>
      <c r="M132" s="462" t="str">
        <v>DNDF [-40C]</v>
      </c>
      <c r="N132" s="462" t="str">
        <v>Chiba</v>
      </c>
      <c r="O132" s="473">
        <v>426</v>
      </c>
      <c r="P132" s="429">
        <v>44713</v>
      </c>
      <c r="Q132" s="113" t="str">
        <v>ChibaU - CHC</v>
      </c>
      <c r="R132" s="429">
        <v>45139</v>
      </c>
      <c r="S132" s="457" t="str">
        <v>Cargo shipment by CHU</v>
      </c>
      <c r="T132" s="458" t="str">
        <v>ChibaU - CHC</v>
      </c>
      <c r="U132" s="458" t="str">
        <v>-</v>
      </c>
      <c r="V132" s="459" t="str">
        <v>ComSur</v>
      </c>
      <c r="W132" s="460" t="str">
        <v>CHC - MCM</v>
      </c>
      <c r="X132" s="460" t="str">
        <v>-</v>
      </c>
      <c r="Y132" s="461" t="str">
        <v>USAP Air</v>
      </c>
      <c r="Z132" s="426">
        <v>45231</v>
      </c>
      <c r="AA132" s="435" t="str">
        <v>-</v>
      </c>
      <c r="AB132" s="435" t="str">
        <v>LC-130</v>
      </c>
      <c r="AC132" s="435">
        <v>45306</v>
      </c>
      <c r="AD132" s="462" t="str">
        <v>Yes</v>
      </c>
      <c r="AE132" s="462" t="str">
        <v>FY24 inter</v>
      </c>
      <c r="AF132" s="463" t="str">
        <v>FY24 intra</v>
      </c>
      <c r="AG132" s="464" t="str">
        <v>S. Yoshida</v>
      </c>
      <c r="AH132" s="464">
        <v>44461</v>
      </c>
      <c r="AI132" s="464" t="str">
        <v>D. Tosi</v>
      </c>
      <c r="AJ132" s="435">
        <v>44461</v>
      </c>
      <c r="AK132" s="462" t="str">
        <v>Pallet sizes are under review. SPARES number to be confirmed. shipped in 20 and 40ft container. Container weight not included in the assumption that pallet will be taken out in CHC.</v>
      </c>
      <c r="AL132" s="451">
        <v>0</v>
      </c>
    </row>
    <row r="133" spans="1:38" ht="33.950000000000003">
      <c r="A133" s="470">
        <v>1.2</v>
      </c>
      <c r="B133" s="453">
        <v>0</v>
      </c>
      <c r="C133" s="471" t="str">
        <v>Field Season 2 Fuel</v>
      </c>
      <c r="D133" s="471" t="str">
        <v>Fuel to support FY24 field season - Base fuel, firn drilling &amp; over winter heating</v>
      </c>
      <c r="E133" s="441">
        <v>0</v>
      </c>
      <c r="F133" s="441">
        <v>0</v>
      </c>
      <c r="G133" s="441">
        <v>0</v>
      </c>
      <c r="H133" s="441">
        <v>18178</v>
      </c>
      <c r="I133" s="442">
        <v>2430.0449701357657</v>
      </c>
      <c r="J133" s="442">
        <v>6.8</v>
      </c>
      <c r="K133" s="441">
        <v>123610.4</v>
      </c>
      <c r="L133" s="455" t="str">
        <v>preliminary</v>
      </c>
      <c r="M133" s="462">
        <v>0</v>
      </c>
      <c r="N133" s="462">
        <v>0</v>
      </c>
      <c r="O133" s="473">
        <v>0</v>
      </c>
      <c r="P133" s="429" t="str">
        <v>-</v>
      </c>
      <c r="Q133" s="113" t="str">
        <v>-</v>
      </c>
      <c r="R133" s="429" t="str">
        <v>-</v>
      </c>
      <c r="S133" s="457" t="str">
        <v>-</v>
      </c>
      <c r="T133" s="458" t="str">
        <v>-</v>
      </c>
      <c r="U133" s="458" t="str">
        <v>-</v>
      </c>
      <c r="V133" s="459" t="str">
        <v>-</v>
      </c>
      <c r="W133" s="460" t="str">
        <v>-</v>
      </c>
      <c r="X133" s="460" t="str">
        <v>-</v>
      </c>
      <c r="Y133" s="461" t="str">
        <v>-</v>
      </c>
      <c r="Z133" s="426">
        <v>45231</v>
      </c>
      <c r="AA133" s="435" t="str">
        <v>-</v>
      </c>
      <c r="AB133" s="435" t="str">
        <v>LC-130/SPoT</v>
      </c>
      <c r="AC133" s="435">
        <v>45261</v>
      </c>
      <c r="AD133" s="462" t="str">
        <v>Yes</v>
      </c>
      <c r="AE133" s="462" t="str">
        <v>FY24 inter</v>
      </c>
      <c r="AF133" s="463" t="str">
        <v>FY24 intra</v>
      </c>
      <c r="AG133" s="464" t="str">
        <v>T. Benson</v>
      </c>
      <c r="AH133" s="464">
        <v>44483</v>
      </c>
      <c r="AI133" s="464" t="str">
        <v>I. McEwen</v>
      </c>
      <c r="AJ133" s="435">
        <v>44483</v>
      </c>
      <c r="AK133" s="462">
        <v>0</v>
      </c>
      <c r="AL133" s="451">
        <v>0</v>
      </c>
    </row>
    <row r="134" spans="1:38" ht="17.100000000000001">
      <c r="A134" s="470">
        <v>1.2</v>
      </c>
      <c r="B134" s="453">
        <v>0</v>
      </c>
      <c r="C134" s="454" t="str">
        <v>Field Season 2 Fuel Contingency</v>
      </c>
      <c r="D134" s="471" t="str">
        <v>Fuel to suppport FY24 field season - Contingency</v>
      </c>
      <c r="E134" s="441">
        <v>0</v>
      </c>
      <c r="F134" s="441">
        <v>0</v>
      </c>
      <c r="G134" s="441">
        <v>0</v>
      </c>
      <c r="H134" s="441">
        <v>2373</v>
      </c>
      <c r="I134" s="442">
        <v>317.22393630389331</v>
      </c>
      <c r="J134" s="442">
        <v>6.8</v>
      </c>
      <c r="K134" s="441">
        <v>16136.4</v>
      </c>
      <c r="L134" s="455" t="str">
        <v>preliminary</v>
      </c>
      <c r="M134" s="462">
        <v>0</v>
      </c>
      <c r="N134" s="462">
        <v>0</v>
      </c>
      <c r="O134" s="473">
        <v>0</v>
      </c>
      <c r="P134" s="429" t="str">
        <v>-</v>
      </c>
      <c r="Q134" s="113" t="str">
        <v>-</v>
      </c>
      <c r="R134" s="429" t="str">
        <v>-</v>
      </c>
      <c r="S134" s="457" t="str">
        <v>-</v>
      </c>
      <c r="T134" s="458" t="str">
        <v>-</v>
      </c>
      <c r="U134" s="458" t="str">
        <v>-</v>
      </c>
      <c r="V134" s="459" t="str">
        <v>-</v>
      </c>
      <c r="W134" s="460" t="str">
        <v>-</v>
      </c>
      <c r="X134" s="460" t="str">
        <v>-</v>
      </c>
      <c r="Y134" s="461" t="str">
        <v>-</v>
      </c>
      <c r="Z134" s="426">
        <v>45231</v>
      </c>
      <c r="AA134" s="435" t="str">
        <v>-</v>
      </c>
      <c r="AB134" s="435" t="str">
        <v>LC-130/SPoT</v>
      </c>
      <c r="AC134" s="435">
        <v>45261</v>
      </c>
      <c r="AD134" s="462" t="str">
        <v>Yes</v>
      </c>
      <c r="AE134" s="462" t="str">
        <v>FY24 inter</v>
      </c>
      <c r="AF134" s="463" t="str">
        <v>FY24 intra</v>
      </c>
      <c r="AG134" s="464" t="str">
        <v>T. Benson</v>
      </c>
      <c r="AH134" s="464">
        <v>44483</v>
      </c>
      <c r="AI134" s="464" t="str">
        <v>I. McEwen</v>
      </c>
      <c r="AJ134" s="435">
        <v>44483</v>
      </c>
      <c r="AK134" s="462">
        <v>0</v>
      </c>
      <c r="AL134" s="451">
        <v>0</v>
      </c>
    </row>
    <row r="135" spans="1:38">
      <c r="A135" s="466"/>
      <c r="B135" s="451"/>
      <c r="C135" s="451"/>
      <c r="D135" s="451"/>
      <c r="E135" s="467"/>
      <c r="F135" s="467"/>
      <c r="G135" s="467"/>
      <c r="H135" s="467"/>
      <c r="I135" s="136">
        <f>SUBTOTAL(9,I92:I134)</f>
        <v>23198.708142550771</v>
      </c>
      <c r="J135" s="136"/>
      <c r="K135" s="136">
        <f t="shared" ref="K135" si="4">SUBTOTAL(9,K92:K134)</f>
        <v>359359.80000000005</v>
      </c>
      <c r="L135" s="451"/>
      <c r="M135" s="451"/>
      <c r="N135" s="451"/>
      <c r="O135" s="468"/>
      <c r="P135" s="469"/>
      <c r="Q135" s="469"/>
      <c r="R135" s="469"/>
      <c r="S135" s="451"/>
      <c r="T135" s="469"/>
      <c r="U135" s="469"/>
      <c r="V135" s="451"/>
      <c r="W135" s="469"/>
      <c r="X135" s="469"/>
      <c r="Y135" s="469"/>
      <c r="Z135" s="469"/>
      <c r="AA135" s="469"/>
      <c r="AB135" s="469"/>
      <c r="AC135" s="469"/>
      <c r="AD135" s="451"/>
      <c r="AE135" s="451"/>
      <c r="AF135" s="451"/>
      <c r="AG135" s="469"/>
      <c r="AH135" s="469"/>
      <c r="AI135" s="469"/>
      <c r="AJ135" s="469"/>
      <c r="AK135" s="451"/>
      <c r="AL135" s="451"/>
    </row>
    <row r="139" spans="1:38" ht="18.95">
      <c r="A139" s="252" t="s">
        <v>432</v>
      </c>
      <c r="B139" s="221" t="s">
        <v>349</v>
      </c>
      <c r="C139" s="222"/>
      <c r="D139" s="222"/>
      <c r="E139" s="224"/>
      <c r="F139" s="224"/>
      <c r="G139" s="224"/>
      <c r="H139" s="224"/>
      <c r="I139" s="224"/>
      <c r="J139" s="224"/>
      <c r="K139" s="224"/>
      <c r="L139" s="222"/>
      <c r="M139" s="222"/>
      <c r="N139" s="222"/>
      <c r="O139" s="396"/>
      <c r="P139" s="226"/>
      <c r="Q139" s="226"/>
      <c r="R139" s="226"/>
      <c r="S139" s="222"/>
      <c r="T139" s="226"/>
      <c r="U139" s="226"/>
      <c r="V139" s="222"/>
      <c r="W139" s="226"/>
      <c r="X139" s="226"/>
      <c r="Y139" s="226"/>
      <c r="Z139" s="226"/>
      <c r="AA139" s="226"/>
      <c r="AB139" s="226"/>
      <c r="AC139" s="226"/>
      <c r="AD139" s="222"/>
      <c r="AE139" s="222"/>
      <c r="AF139" s="222"/>
      <c r="AG139" s="226"/>
      <c r="AH139" s="222"/>
      <c r="AI139" s="222"/>
      <c r="AJ139" s="222"/>
      <c r="AK139" s="226"/>
      <c r="AL139" s="451"/>
    </row>
    <row r="140" spans="1:38" ht="33.950000000000003">
      <c r="A140" s="477" cm="1">
        <f t="array" ref="A140:AL159">_xlfn._xlws.FILTER(cargo_table, inter_shipping_label=B139)</f>
        <v>1.2</v>
      </c>
      <c r="B140" s="475" t="str">
        <v>Drill</v>
      </c>
      <c r="C140" s="472" t="str">
        <v>Computing/controls components</v>
      </c>
      <c r="D140" s="472" t="str">
        <v>Computing and controls equipment (Sensor, motor drives and other sensitive electronics) - Do Not Freeze</v>
      </c>
      <c r="E140" s="441">
        <v>96</v>
      </c>
      <c r="F140" s="441">
        <v>48</v>
      </c>
      <c r="G140" s="441">
        <v>48</v>
      </c>
      <c r="H140" s="445">
        <v>1</v>
      </c>
      <c r="I140" s="442">
        <v>128</v>
      </c>
      <c r="J140" s="442">
        <v>3000</v>
      </c>
      <c r="K140" s="441">
        <v>3000</v>
      </c>
      <c r="L140" s="485" t="str">
        <v>estimated</v>
      </c>
      <c r="M140" s="463" t="str">
        <v>DNF</v>
      </c>
      <c r="N140" s="462" t="str">
        <v xml:space="preserve"> U. Wisc. Madison</v>
      </c>
      <c r="O140" s="473">
        <v>31</v>
      </c>
      <c r="P140" s="429">
        <v>45474</v>
      </c>
      <c r="Q140" s="429" t="str">
        <v>UWM - PTH</v>
      </c>
      <c r="R140" s="429">
        <v>45505</v>
      </c>
      <c r="S140" s="457" t="str">
        <v>Truck</v>
      </c>
      <c r="T140" s="458" t="str">
        <v>PTH - CHC</v>
      </c>
      <c r="U140" s="458" t="str">
        <v>-</v>
      </c>
      <c r="V140" s="459" t="str">
        <v>ComSur</v>
      </c>
      <c r="W140" s="460" t="str">
        <v>CHC-MCM</v>
      </c>
      <c r="X140" s="460" t="str">
        <v>-</v>
      </c>
      <c r="Y140" s="435" t="str">
        <v>USAP Air</v>
      </c>
      <c r="Z140" s="426">
        <v>45597</v>
      </c>
      <c r="AA140" s="435" t="str">
        <v>-</v>
      </c>
      <c r="AB140" s="435" t="str">
        <v>LC-130</v>
      </c>
      <c r="AC140" s="435">
        <v>45611</v>
      </c>
      <c r="AD140" s="462" t="str">
        <v>Yes</v>
      </c>
      <c r="AE140" s="462" t="str">
        <v>FY25 inter</v>
      </c>
      <c r="AF140" s="462" t="str">
        <v>FY25 intra</v>
      </c>
      <c r="AG140" s="435" t="str">
        <v>D. Gibson</v>
      </c>
      <c r="AH140" s="435">
        <v>44477</v>
      </c>
      <c r="AI140" s="435" t="str">
        <v>I. McEwen</v>
      </c>
      <c r="AJ140" s="435">
        <v>44477</v>
      </c>
      <c r="AK140" s="462">
        <v>0</v>
      </c>
      <c r="AL140" s="451">
        <v>0</v>
      </c>
    </row>
    <row r="141" spans="1:38" ht="51">
      <c r="A141" s="477">
        <v>1.3</v>
      </c>
      <c r="B141" s="475" t="str">
        <v>Installation</v>
      </c>
      <c r="C141" s="472" t="str">
        <v>Special Devices 89-93</v>
      </c>
      <c r="D141" s="472" t="str">
        <v>Special devices for 5 remaining strings from UW (4+1 FOM,2+1 Radio Receivers, 11+1 LOM + seismometer*) - Do Not Deep Freeze</v>
      </c>
      <c r="E141" s="441">
        <v>81</v>
      </c>
      <c r="F141" s="441">
        <v>56</v>
      </c>
      <c r="G141" s="441">
        <v>51</v>
      </c>
      <c r="H141" s="445">
        <v>1</v>
      </c>
      <c r="I141" s="442">
        <v>133.875</v>
      </c>
      <c r="J141" s="442">
        <v>1797</v>
      </c>
      <c r="K141" s="441">
        <v>1797</v>
      </c>
      <c r="L141" s="485" t="str">
        <v>estimated</v>
      </c>
      <c r="M141" s="463" t="str">
        <v>DNDF [-40C]</v>
      </c>
      <c r="N141" s="462" t="str">
        <v>UWM/Kansas</v>
      </c>
      <c r="O141" s="473">
        <v>213</v>
      </c>
      <c r="P141" s="429">
        <v>45292</v>
      </c>
      <c r="Q141" s="429" t="str">
        <v>UWM - PTH</v>
      </c>
      <c r="R141" s="429">
        <v>45505</v>
      </c>
      <c r="S141" s="457" t="str">
        <v>Truck</v>
      </c>
      <c r="T141" s="458" t="str">
        <v>PTH - CHC</v>
      </c>
      <c r="U141" s="458" t="str">
        <v>-</v>
      </c>
      <c r="V141" s="459" t="str">
        <v>ComAir</v>
      </c>
      <c r="W141" s="460" t="str">
        <v>CHC-MCM</v>
      </c>
      <c r="X141" s="460" t="str">
        <v>-</v>
      </c>
      <c r="Y141" s="435" t="str">
        <v>USAP Air</v>
      </c>
      <c r="Z141" s="426">
        <v>45597</v>
      </c>
      <c r="AA141" s="435" t="str">
        <v>-</v>
      </c>
      <c r="AB141" s="435" t="str">
        <v>LC-130</v>
      </c>
      <c r="AC141" s="435">
        <v>45621</v>
      </c>
      <c r="AD141" s="462" t="str">
        <v>Yes</v>
      </c>
      <c r="AE141" s="462" t="str">
        <v>FY25 inter</v>
      </c>
      <c r="AF141" s="462" t="str">
        <v>FY25 intra</v>
      </c>
      <c r="AG141" s="435" t="str">
        <v>S. Boeser</v>
      </c>
      <c r="AH141" s="435">
        <v>44482</v>
      </c>
      <c r="AI141" s="435" t="str">
        <v>D. Tosi</v>
      </c>
      <c r="AJ141" s="435">
        <v>44482</v>
      </c>
      <c r="AK141" s="462" t="str">
        <v xml:space="preserve">21 Special Devices from USA (11+ 1 LOM, 4+1 FOM, 2+1 RR, FTS ? , seismometer), assume mDOM weight. 200 lbs wood crate. FTS not included. (*) Seismometer not yet in CMD </v>
      </c>
      <c r="AL141" s="451">
        <v>0</v>
      </c>
    </row>
    <row r="142" spans="1:38" ht="33.950000000000003">
      <c r="A142" s="477">
        <v>1.5</v>
      </c>
      <c r="B142" s="475" t="str">
        <v>Installation</v>
      </c>
      <c r="C142" s="472" t="str">
        <v>Calibration/Special Devices  89-93</v>
      </c>
      <c r="D142" s="472" t="str">
        <v>8+1 PencilBeams, 12+1 pDOMs from UW - Do Not Deep Freeze</v>
      </c>
      <c r="E142" s="445">
        <v>75</v>
      </c>
      <c r="F142" s="445">
        <v>56.5</v>
      </c>
      <c r="G142" s="445">
        <v>41</v>
      </c>
      <c r="H142" s="445">
        <v>1</v>
      </c>
      <c r="I142" s="442">
        <v>100.54253472222223</v>
      </c>
      <c r="J142" s="442">
        <v>1602</v>
      </c>
      <c r="K142" s="441">
        <v>1602</v>
      </c>
      <c r="L142" s="485" t="str">
        <v>preliminary</v>
      </c>
      <c r="M142" s="463" t="str">
        <v>DNDF [-40C]</v>
      </c>
      <c r="N142" s="462" t="str">
        <v xml:space="preserve"> U. Wisc. Madison</v>
      </c>
      <c r="O142" s="473">
        <v>352</v>
      </c>
      <c r="P142" s="429">
        <v>45153</v>
      </c>
      <c r="Q142" s="429" t="str">
        <v>UWM - PTH</v>
      </c>
      <c r="R142" s="429">
        <v>45505</v>
      </c>
      <c r="S142" s="457" t="str">
        <v>Truck</v>
      </c>
      <c r="T142" s="458" t="str">
        <v>PTH - CHC</v>
      </c>
      <c r="U142" s="458" t="str">
        <v>-</v>
      </c>
      <c r="V142" s="459" t="str">
        <v>ComSur</v>
      </c>
      <c r="W142" s="460" t="str">
        <v>CHC-MCM</v>
      </c>
      <c r="X142" s="460" t="str">
        <v>-</v>
      </c>
      <c r="Y142" s="435" t="str">
        <v>USAP Air</v>
      </c>
      <c r="Z142" s="426">
        <v>45597</v>
      </c>
      <c r="AA142" s="435" t="str">
        <v>-</v>
      </c>
      <c r="AB142" s="435" t="str">
        <v>LC-130</v>
      </c>
      <c r="AC142" s="435">
        <v>45621</v>
      </c>
      <c r="AD142" s="462" t="str">
        <v>Yes</v>
      </c>
      <c r="AE142" s="462" t="str">
        <v>FY25 inter</v>
      </c>
      <c r="AF142" s="462" t="str">
        <v>FY25 intra</v>
      </c>
      <c r="AG142" s="435" t="str">
        <v>D. Williams</v>
      </c>
      <c r="AH142" s="435">
        <v>44482</v>
      </c>
      <c r="AI142" s="435" t="str">
        <v>D. Tosi</v>
      </c>
      <c r="AJ142" s="435">
        <v>44474</v>
      </c>
      <c r="AK142" s="462" t="str">
        <v xml:space="preserve">8+1 PencilBeams for strings 89-93, 12+1 pDOMs, assume mDOM weight. 244 lbs crate. </v>
      </c>
      <c r="AL142" s="451">
        <v>0</v>
      </c>
    </row>
    <row r="143" spans="1:38" ht="33.950000000000003">
      <c r="A143" s="477">
        <v>1.2</v>
      </c>
      <c r="B143" s="475" t="str">
        <v>Installation</v>
      </c>
      <c r="C143" s="486" t="str">
        <v>Misc. Science Equipment - FY25</v>
      </c>
      <c r="D143" s="472" t="str">
        <v>Scientific and test equipment  (Handheld test devices, Paros, et al.) - Do Not Freeze</v>
      </c>
      <c r="E143" s="445">
        <v>48</v>
      </c>
      <c r="F143" s="445">
        <v>48</v>
      </c>
      <c r="G143" s="445">
        <v>48</v>
      </c>
      <c r="H143" s="445">
        <v>1</v>
      </c>
      <c r="I143" s="442">
        <v>64</v>
      </c>
      <c r="J143" s="442">
        <v>1500</v>
      </c>
      <c r="K143" s="441">
        <v>1500</v>
      </c>
      <c r="L143" s="485" t="str">
        <v>estimated</v>
      </c>
      <c r="M143" s="463" t="str">
        <v>DNF</v>
      </c>
      <c r="N143" s="462" t="str">
        <v xml:space="preserve"> U. Wisc. Madison</v>
      </c>
      <c r="O143" s="473">
        <v>61</v>
      </c>
      <c r="P143" s="429">
        <v>45444</v>
      </c>
      <c r="Q143" s="429" t="str">
        <v>UWM - PTH</v>
      </c>
      <c r="R143" s="429">
        <v>45505</v>
      </c>
      <c r="S143" s="457" t="str">
        <v>Truck</v>
      </c>
      <c r="T143" s="458" t="str">
        <v>PTH - CHC</v>
      </c>
      <c r="U143" s="458" t="str">
        <v>-</v>
      </c>
      <c r="V143" s="459" t="str">
        <v>ComSur</v>
      </c>
      <c r="W143" s="460" t="str">
        <v>CHC-MCM</v>
      </c>
      <c r="X143" s="460" t="str">
        <v>-</v>
      </c>
      <c r="Y143" s="426" t="str">
        <v>USAP Air</v>
      </c>
      <c r="Z143" s="426">
        <v>45597</v>
      </c>
      <c r="AA143" s="435" t="str">
        <v>-</v>
      </c>
      <c r="AB143" s="435" t="str">
        <v>LC-130</v>
      </c>
      <c r="AC143" s="435">
        <v>45627</v>
      </c>
      <c r="AD143" s="462" t="str">
        <v>Yes</v>
      </c>
      <c r="AE143" s="462" t="str">
        <v>FY25 inter</v>
      </c>
      <c r="AF143" s="462" t="str">
        <v>FY25 intra</v>
      </c>
      <c r="AG143" s="435" t="str">
        <v>D. Tosi</v>
      </c>
      <c r="AH143" s="435">
        <v>44477</v>
      </c>
      <c r="AI143" s="435" t="str">
        <v>D. Tosi</v>
      </c>
      <c r="AJ143" s="435">
        <v>44477</v>
      </c>
      <c r="AK143" s="462">
        <v>0</v>
      </c>
      <c r="AL143" s="451">
        <v>0</v>
      </c>
    </row>
    <row r="144" spans="1:38" ht="33.950000000000003">
      <c r="A144" s="477">
        <v>1.5</v>
      </c>
      <c r="B144" s="475" t="str">
        <v>Installation</v>
      </c>
      <c r="C144" s="486" t="str">
        <v>Dust logging device</v>
      </c>
      <c r="D144" s="472" t="str">
        <v>Blue Logging device - sensitive equipment - Do Not Freeze</v>
      </c>
      <c r="E144" s="445">
        <v>48</v>
      </c>
      <c r="F144" s="445">
        <v>17</v>
      </c>
      <c r="G144" s="445">
        <v>17</v>
      </c>
      <c r="H144" s="445">
        <v>1</v>
      </c>
      <c r="I144" s="442">
        <v>8.0277777777777786</v>
      </c>
      <c r="J144" s="442">
        <v>60</v>
      </c>
      <c r="K144" s="441">
        <v>60</v>
      </c>
      <c r="L144" s="485" t="str">
        <v>actual</v>
      </c>
      <c r="M144" s="463" t="str">
        <v>DNF</v>
      </c>
      <c r="N144" s="462" t="str">
        <v xml:space="preserve"> U. Wisc. Madison</v>
      </c>
      <c r="O144" s="473">
        <v>61</v>
      </c>
      <c r="P144" s="429">
        <v>45444</v>
      </c>
      <c r="Q144" s="429" t="str">
        <v>UWM - PTH</v>
      </c>
      <c r="R144" s="429">
        <v>45505</v>
      </c>
      <c r="S144" s="457" t="str">
        <v>Truck</v>
      </c>
      <c r="T144" s="458" t="str">
        <v>PTH - CHC</v>
      </c>
      <c r="U144" s="458" t="str">
        <v>-</v>
      </c>
      <c r="V144" s="459" t="str">
        <v>ComAir</v>
      </c>
      <c r="W144" s="460" t="str">
        <v>CHC-MCM</v>
      </c>
      <c r="X144" s="460" t="str">
        <v>-</v>
      </c>
      <c r="Y144" s="426" t="str">
        <v>USAP Air</v>
      </c>
      <c r="Z144" s="426">
        <v>45597</v>
      </c>
      <c r="AA144" s="435" t="str">
        <v>-</v>
      </c>
      <c r="AB144" s="435" t="str">
        <v>LC-130</v>
      </c>
      <c r="AC144" s="435">
        <v>45621</v>
      </c>
      <c r="AD144" s="462" t="str">
        <v>Yes</v>
      </c>
      <c r="AE144" s="462" t="str">
        <v>FY25 inter</v>
      </c>
      <c r="AF144" s="462" t="str">
        <v>FY25 intra</v>
      </c>
      <c r="AG144" s="435" t="str">
        <v>D. Williams</v>
      </c>
      <c r="AH144" s="435">
        <v>44483</v>
      </c>
      <c r="AI144" s="435" t="str">
        <v>D. Tosi</v>
      </c>
      <c r="AJ144" s="435">
        <v>44457</v>
      </c>
      <c r="AK144" s="462" t="str">
        <v>Used weights from last deployment season shipment data (could be combined)</v>
      </c>
      <c r="AL144" s="451">
        <v>0</v>
      </c>
    </row>
    <row r="145" spans="1:38" ht="33.950000000000003">
      <c r="A145" s="487">
        <v>1.5</v>
      </c>
      <c r="B145" s="488" t="str">
        <v>Installation</v>
      </c>
      <c r="C145" s="489" t="str">
        <v>Dust logging device</v>
      </c>
      <c r="D145" s="489" t="str">
        <v>Green Logging device - sensitive equipment - Do Not Freeze</v>
      </c>
      <c r="E145" s="447">
        <v>48</v>
      </c>
      <c r="F145" s="447">
        <v>17</v>
      </c>
      <c r="G145" s="447">
        <v>17</v>
      </c>
      <c r="H145" s="445">
        <v>1</v>
      </c>
      <c r="I145" s="442">
        <v>8.0277777777777786</v>
      </c>
      <c r="J145" s="442">
        <v>60</v>
      </c>
      <c r="K145" s="441">
        <v>60</v>
      </c>
      <c r="L145" s="490" t="str">
        <v>actual</v>
      </c>
      <c r="M145" s="491" t="str">
        <v>DNF</v>
      </c>
      <c r="N145" s="462" t="str">
        <v xml:space="preserve"> U. Wisc. Madison</v>
      </c>
      <c r="O145" s="473">
        <v>61</v>
      </c>
      <c r="P145" s="429">
        <v>45444</v>
      </c>
      <c r="Q145" s="429" t="str">
        <v>UWM - PTH</v>
      </c>
      <c r="R145" s="429">
        <v>45505</v>
      </c>
      <c r="S145" s="457" t="str">
        <v>Truck</v>
      </c>
      <c r="T145" s="458" t="str">
        <v>PTH - CHC</v>
      </c>
      <c r="U145" s="458" t="str">
        <v>-</v>
      </c>
      <c r="V145" s="459" t="str">
        <v>ComAir</v>
      </c>
      <c r="W145" s="460" t="str">
        <v>CHC-MCM</v>
      </c>
      <c r="X145" s="460" t="str">
        <v>-</v>
      </c>
      <c r="Y145" s="426" t="str">
        <v>USAP Air</v>
      </c>
      <c r="Z145" s="426">
        <v>45597</v>
      </c>
      <c r="AA145" s="435" t="str">
        <v>-</v>
      </c>
      <c r="AB145" s="435" t="str">
        <v>LC-130</v>
      </c>
      <c r="AC145" s="435">
        <v>45621</v>
      </c>
      <c r="AD145" s="462" t="str">
        <v>Yes</v>
      </c>
      <c r="AE145" s="462" t="str">
        <v>FY25 inter</v>
      </c>
      <c r="AF145" s="462" t="str">
        <v>FY25 intra</v>
      </c>
      <c r="AG145" s="435" t="str">
        <v>D. Williams</v>
      </c>
      <c r="AH145" s="435">
        <v>44483</v>
      </c>
      <c r="AI145" s="435" t="str">
        <v>D. Tosi</v>
      </c>
      <c r="AJ145" s="435">
        <v>44458</v>
      </c>
      <c r="AK145" s="462" t="str">
        <v>Used weights from last deployment season shipment data (could be combined)</v>
      </c>
      <c r="AL145" s="451">
        <v>0</v>
      </c>
    </row>
    <row r="146" spans="1:38" ht="33.950000000000003">
      <c r="A146" s="487">
        <v>1.5</v>
      </c>
      <c r="B146" s="488" t="str">
        <v>Installation</v>
      </c>
      <c r="C146" s="489" t="str">
        <v>Dust logging device</v>
      </c>
      <c r="D146" s="489" t="str">
        <v>Electronics parts - sensitive equipment - Do Not Freeze</v>
      </c>
      <c r="E146" s="447">
        <v>26</v>
      </c>
      <c r="F146" s="447">
        <v>24</v>
      </c>
      <c r="G146" s="447">
        <v>24</v>
      </c>
      <c r="H146" s="445">
        <v>1</v>
      </c>
      <c r="I146" s="442">
        <v>8.6666666666666661</v>
      </c>
      <c r="J146" s="442">
        <v>120</v>
      </c>
      <c r="K146" s="441">
        <v>120</v>
      </c>
      <c r="L146" s="490" t="str">
        <v>actual</v>
      </c>
      <c r="M146" s="491" t="str">
        <v>DNF</v>
      </c>
      <c r="N146" s="462" t="str">
        <v xml:space="preserve"> U. Wisc. Madison</v>
      </c>
      <c r="O146" s="473">
        <v>61</v>
      </c>
      <c r="P146" s="429">
        <v>45444</v>
      </c>
      <c r="Q146" s="429" t="str">
        <v>UWM - PTH</v>
      </c>
      <c r="R146" s="429">
        <v>45505</v>
      </c>
      <c r="S146" s="457" t="str">
        <v>Truck</v>
      </c>
      <c r="T146" s="458" t="str">
        <v>PTH - CHC</v>
      </c>
      <c r="U146" s="458" t="str">
        <v>-</v>
      </c>
      <c r="V146" s="459" t="str">
        <v>ComAir</v>
      </c>
      <c r="W146" s="460" t="str">
        <v>CHC-MCM</v>
      </c>
      <c r="X146" s="460" t="str">
        <v>-</v>
      </c>
      <c r="Y146" s="426" t="str">
        <v>USAP Air</v>
      </c>
      <c r="Z146" s="426">
        <v>45597</v>
      </c>
      <c r="AA146" s="435" t="str">
        <v>-</v>
      </c>
      <c r="AB146" s="435" t="str">
        <v>LC-130</v>
      </c>
      <c r="AC146" s="435">
        <v>45621</v>
      </c>
      <c r="AD146" s="462" t="str">
        <v>Yes</v>
      </c>
      <c r="AE146" s="462" t="str">
        <v>FY25 inter</v>
      </c>
      <c r="AF146" s="462" t="str">
        <v>FY25 intra</v>
      </c>
      <c r="AG146" s="435" t="str">
        <v>D. Williams</v>
      </c>
      <c r="AH146" s="435">
        <v>44483</v>
      </c>
      <c r="AI146" s="435" t="str">
        <v>D. Tosi</v>
      </c>
      <c r="AJ146" s="435">
        <v>44459</v>
      </c>
      <c r="AK146" s="462" t="str">
        <v>Used weights from last deployment season shipment data (could be combined)</v>
      </c>
      <c r="AL146" s="451">
        <v>0</v>
      </c>
    </row>
    <row r="147" spans="1:38" ht="33.950000000000003">
      <c r="A147" s="477">
        <v>1.5</v>
      </c>
      <c r="B147" s="475" t="str">
        <v>Installation</v>
      </c>
      <c r="C147" s="472" t="str">
        <v>Dust logging device</v>
      </c>
      <c r="D147" s="472" t="str">
        <v>Electronics parts - sensitive equipment - Do Not Freeze</v>
      </c>
      <c r="E147" s="445">
        <v>26</v>
      </c>
      <c r="F147" s="445">
        <v>23</v>
      </c>
      <c r="G147" s="445">
        <v>20</v>
      </c>
      <c r="H147" s="445">
        <v>1</v>
      </c>
      <c r="I147" s="442">
        <v>6.9212962962962967</v>
      </c>
      <c r="J147" s="442">
        <v>60</v>
      </c>
      <c r="K147" s="441">
        <v>60</v>
      </c>
      <c r="L147" s="485" t="str">
        <v>actual</v>
      </c>
      <c r="M147" s="463" t="str">
        <v>DNF</v>
      </c>
      <c r="N147" s="462" t="str">
        <v xml:space="preserve"> U. Wisc. Madison</v>
      </c>
      <c r="O147" s="473">
        <v>61</v>
      </c>
      <c r="P147" s="429">
        <v>45444</v>
      </c>
      <c r="Q147" s="429" t="str">
        <v>UWM - PTH</v>
      </c>
      <c r="R147" s="429">
        <v>45505</v>
      </c>
      <c r="S147" s="457" t="str">
        <v>Truck</v>
      </c>
      <c r="T147" s="458" t="str">
        <v>PTH - CHC</v>
      </c>
      <c r="U147" s="458" t="str">
        <v>-</v>
      </c>
      <c r="V147" s="459" t="str">
        <v>ComAir</v>
      </c>
      <c r="W147" s="460" t="str">
        <v>CHC-MCM</v>
      </c>
      <c r="X147" s="460" t="str">
        <v>-</v>
      </c>
      <c r="Y147" s="435" t="str">
        <v>USAP Air</v>
      </c>
      <c r="Z147" s="426">
        <v>45597</v>
      </c>
      <c r="AA147" s="435" t="str">
        <v>-</v>
      </c>
      <c r="AB147" s="435" t="str">
        <v>LC-130</v>
      </c>
      <c r="AC147" s="435">
        <v>45621</v>
      </c>
      <c r="AD147" s="462" t="str">
        <v>Yes</v>
      </c>
      <c r="AE147" s="462" t="str">
        <v>FY25 inter</v>
      </c>
      <c r="AF147" s="462" t="str">
        <v>FY25 intra</v>
      </c>
      <c r="AG147" s="435" t="str">
        <v>D. Williams</v>
      </c>
      <c r="AH147" s="435">
        <v>44483</v>
      </c>
      <c r="AI147" s="435" t="str">
        <v>D. Tosi</v>
      </c>
      <c r="AJ147" s="435">
        <v>44460</v>
      </c>
      <c r="AK147" s="462" t="str">
        <v>Used weights from last deployment season shipment data (could be combined)</v>
      </c>
      <c r="AL147" s="451">
        <v>0</v>
      </c>
    </row>
    <row r="148" spans="1:38" ht="33.950000000000003">
      <c r="A148" s="477">
        <v>1.5</v>
      </c>
      <c r="B148" s="475" t="str">
        <v>Installation</v>
      </c>
      <c r="C148" s="472" t="str">
        <v>Logging winch</v>
      </c>
      <c r="D148" s="472" t="str">
        <v xml:space="preserve">Winch to be used for Dust Logging </v>
      </c>
      <c r="E148" s="445">
        <v>86</v>
      </c>
      <c r="F148" s="445">
        <v>60</v>
      </c>
      <c r="G148" s="445">
        <v>68</v>
      </c>
      <c r="H148" s="445">
        <v>1</v>
      </c>
      <c r="I148" s="442">
        <v>203.05555555555554</v>
      </c>
      <c r="J148" s="442">
        <v>3500</v>
      </c>
      <c r="K148" s="441">
        <v>3500</v>
      </c>
      <c r="L148" s="485" t="str">
        <v>preliminary</v>
      </c>
      <c r="M148" s="463">
        <v>0</v>
      </c>
      <c r="N148" s="462" t="str">
        <v xml:space="preserve"> U. Wisc. Madison</v>
      </c>
      <c r="O148" s="473">
        <v>61</v>
      </c>
      <c r="P148" s="429">
        <v>45444</v>
      </c>
      <c r="Q148" s="429" t="str">
        <v>UWM - PTH</v>
      </c>
      <c r="R148" s="429">
        <v>45505</v>
      </c>
      <c r="S148" s="457" t="str">
        <v>Truck</v>
      </c>
      <c r="T148" s="458" t="str">
        <v>PTH - CHC</v>
      </c>
      <c r="U148" s="458" t="str">
        <v>-</v>
      </c>
      <c r="V148" s="459" t="str">
        <v>ComAir</v>
      </c>
      <c r="W148" s="460" t="str">
        <v>CHC-MCM</v>
      </c>
      <c r="X148" s="460" t="str">
        <v>-</v>
      </c>
      <c r="Y148" s="435" t="str">
        <v>USAP Air</v>
      </c>
      <c r="Z148" s="426">
        <v>45597</v>
      </c>
      <c r="AA148" s="435" t="str">
        <v>-</v>
      </c>
      <c r="AB148" s="435" t="str">
        <v>LC-130</v>
      </c>
      <c r="AC148" s="435">
        <v>45621</v>
      </c>
      <c r="AD148" s="462" t="str">
        <v>Yes</v>
      </c>
      <c r="AE148" s="462" t="str">
        <v>FY25 inter</v>
      </c>
      <c r="AF148" s="462" t="str">
        <v>FY25 intra</v>
      </c>
      <c r="AG148" s="435" t="str">
        <v>D. Tosi</v>
      </c>
      <c r="AH148" s="435">
        <v>44477</v>
      </c>
      <c r="AI148" s="435" t="str">
        <v>I. McEwen</v>
      </c>
      <c r="AJ148" s="435">
        <v>44477</v>
      </c>
      <c r="AK148" s="462" t="str">
        <v>Used weights and cubes of IDP deep logging winch. Send back end of season</v>
      </c>
      <c r="AL148" s="451">
        <v>0</v>
      </c>
    </row>
    <row r="149" spans="1:38" ht="33.950000000000003">
      <c r="A149" s="477">
        <v>1.5</v>
      </c>
      <c r="B149" s="475" t="str">
        <v>Installation</v>
      </c>
      <c r="C149" s="465" t="str">
        <v>Logging winch control box</v>
      </c>
      <c r="D149" s="465" t="str">
        <v>Control Box for winch for Dust Logging  - sensitive equipment - Do Not Freeze</v>
      </c>
      <c r="E149" s="449">
        <v>48</v>
      </c>
      <c r="F149" s="449">
        <v>48</v>
      </c>
      <c r="G149" s="449">
        <v>36</v>
      </c>
      <c r="H149" s="445">
        <v>1</v>
      </c>
      <c r="I149" s="442">
        <v>48</v>
      </c>
      <c r="J149" s="442">
        <v>400</v>
      </c>
      <c r="K149" s="441">
        <v>400</v>
      </c>
      <c r="L149" s="492" t="str">
        <v>preliminary</v>
      </c>
      <c r="M149" s="476" t="str">
        <v>DNF</v>
      </c>
      <c r="N149" s="462" t="str">
        <v xml:space="preserve"> U. Wisc. Madison</v>
      </c>
      <c r="O149" s="473">
        <v>61</v>
      </c>
      <c r="P149" s="429">
        <v>45444</v>
      </c>
      <c r="Q149" s="429" t="str">
        <v>UWM - PTH</v>
      </c>
      <c r="R149" s="429">
        <v>45505</v>
      </c>
      <c r="S149" s="457" t="str">
        <v>Truck</v>
      </c>
      <c r="T149" s="458" t="str">
        <v>PTH - CHC</v>
      </c>
      <c r="U149" s="458" t="str">
        <v>-</v>
      </c>
      <c r="V149" s="459" t="str">
        <v>ComAir</v>
      </c>
      <c r="W149" s="460" t="str">
        <v>CHC-MCM</v>
      </c>
      <c r="X149" s="460" t="str">
        <v>-</v>
      </c>
      <c r="Y149" s="435" t="str">
        <v>USAP Air</v>
      </c>
      <c r="Z149" s="426">
        <v>45597</v>
      </c>
      <c r="AA149" s="435" t="str">
        <v>-</v>
      </c>
      <c r="AB149" s="435" t="str">
        <v>LC-130</v>
      </c>
      <c r="AC149" s="435">
        <v>45621</v>
      </c>
      <c r="AD149" s="462" t="str">
        <v>Yes</v>
      </c>
      <c r="AE149" s="462" t="str">
        <v>FY25 inter</v>
      </c>
      <c r="AF149" s="462" t="str">
        <v>FY25 intra</v>
      </c>
      <c r="AG149" s="435" t="str">
        <v>D. Tosi</v>
      </c>
      <c r="AH149" s="435">
        <v>44477</v>
      </c>
      <c r="AI149" s="435" t="str">
        <v>I. McEwen</v>
      </c>
      <c r="AJ149" s="435">
        <v>44477</v>
      </c>
      <c r="AK149" s="462" t="str">
        <v>Used weights and cubes of IDP deep logging winch. Send back end of season</v>
      </c>
      <c r="AL149" s="451">
        <v>0</v>
      </c>
    </row>
    <row r="150" spans="1:38" ht="51">
      <c r="A150" s="478">
        <v>1.3</v>
      </c>
      <c r="B150" s="479" t="str">
        <v>Installation</v>
      </c>
      <c r="C150" s="481" t="str">
        <v>String Sensors 89-93</v>
      </c>
      <c r="D150" s="465" t="str">
        <v>Optical Sensors for 5 strings from MSU (mDOMs) - Do Not Deep Freeze</v>
      </c>
      <c r="E150" s="482">
        <v>40</v>
      </c>
      <c r="F150" s="482">
        <v>48</v>
      </c>
      <c r="G150" s="482">
        <v>46</v>
      </c>
      <c r="H150" s="445">
        <v>25</v>
      </c>
      <c r="I150" s="441">
        <v>1277.7777777777778</v>
      </c>
      <c r="J150" s="441">
        <v>573</v>
      </c>
      <c r="K150" s="441">
        <v>14325</v>
      </c>
      <c r="L150" s="483" t="str">
        <v>actual(**)</v>
      </c>
      <c r="M150" s="484" t="str">
        <v>DNDF [-40C]</v>
      </c>
      <c r="N150" s="462" t="str">
        <v>MSU</v>
      </c>
      <c r="O150" s="473">
        <v>366</v>
      </c>
      <c r="P150" s="429">
        <v>45139</v>
      </c>
      <c r="Q150" s="429" t="str">
        <v>MSU - PTH</v>
      </c>
      <c r="R150" s="429">
        <v>45505</v>
      </c>
      <c r="S150" s="457" t="str">
        <v>Truck</v>
      </c>
      <c r="T150" s="458" t="str">
        <v>PTH - CHC</v>
      </c>
      <c r="U150" s="458" t="str">
        <v>-</v>
      </c>
      <c r="V150" s="459" t="str">
        <v>ComSur</v>
      </c>
      <c r="W150" s="460" t="str">
        <v>CHC - MCM</v>
      </c>
      <c r="X150" s="460" t="str">
        <v>-</v>
      </c>
      <c r="Y150" s="426" t="str">
        <v>USAP Air</v>
      </c>
      <c r="Z150" s="426">
        <v>45597</v>
      </c>
      <c r="AA150" s="435" t="str">
        <v>-</v>
      </c>
      <c r="AB150" s="435" t="str">
        <v>LC-130</v>
      </c>
      <c r="AC150" s="435">
        <v>45621</v>
      </c>
      <c r="AD150" s="462" t="str">
        <v>Yes</v>
      </c>
      <c r="AE150" s="462" t="str">
        <v>FY25 inter</v>
      </c>
      <c r="AF150" s="462" t="str">
        <v>FY25 intra</v>
      </c>
      <c r="AG150" s="435" t="str">
        <v>T. Karg</v>
      </c>
      <c r="AH150" s="435">
        <v>44459</v>
      </c>
      <c r="AI150" s="435" t="str">
        <v>D. Tosi</v>
      </c>
      <c r="AJ150" s="435">
        <v>44461</v>
      </c>
      <c r="AK150" s="462" t="str">
        <v>mDOM weight is 28 kg/boxed + 35kg pallet, assume 8 mDOMs/pallet (189 to be deployed + 11 spares)(*)Assumed to be shipped in 2x20' HC  (5115 lbs, 238inx96inx114in) or a 40 ft HC, purchased by MSU or loaned in PTH (container weight not included)</v>
      </c>
      <c r="AL150" s="451">
        <v>0</v>
      </c>
    </row>
    <row r="151" spans="1:38" ht="51">
      <c r="A151" s="478">
        <v>1.3</v>
      </c>
      <c r="B151" s="479" t="str">
        <v>Installation</v>
      </c>
      <c r="C151" s="481" t="str">
        <v>String Sensors 89-93</v>
      </c>
      <c r="D151" s="465" t="str">
        <v>Optical Sensors for 5 strings from MSU (mDOMs) containers (TBD) - Do Not Deep Freeze</v>
      </c>
      <c r="E151" s="482">
        <v>238</v>
      </c>
      <c r="F151" s="482">
        <v>96</v>
      </c>
      <c r="G151" s="482">
        <v>114</v>
      </c>
      <c r="H151" s="445">
        <v>0</v>
      </c>
      <c r="I151" s="441">
        <v>0</v>
      </c>
      <c r="J151" s="441">
        <v>5115</v>
      </c>
      <c r="K151" s="441">
        <v>0</v>
      </c>
      <c r="L151" s="483" t="str">
        <v>actual(**)</v>
      </c>
      <c r="M151" s="493" t="str">
        <v>DNDF [-40C]</v>
      </c>
      <c r="N151" s="462" t="str">
        <v>MSU</v>
      </c>
      <c r="O151" s="473">
        <v>366</v>
      </c>
      <c r="P151" s="429">
        <v>45139</v>
      </c>
      <c r="Q151" s="429" t="str">
        <v>MSU - PTH</v>
      </c>
      <c r="R151" s="429">
        <v>45505</v>
      </c>
      <c r="S151" s="457" t="str">
        <v>Truck</v>
      </c>
      <c r="T151" s="458" t="str">
        <v>PTH - CHC</v>
      </c>
      <c r="U151" s="458" t="str">
        <v>-</v>
      </c>
      <c r="V151" s="459" t="str">
        <v>ComSur</v>
      </c>
      <c r="W151" s="460" t="str">
        <v>CHC - MCM</v>
      </c>
      <c r="X151" s="460" t="str">
        <v>-</v>
      </c>
      <c r="Y151" s="426" t="str">
        <v>USAP Air</v>
      </c>
      <c r="Z151" s="426">
        <v>45597</v>
      </c>
      <c r="AA151" s="435" t="str">
        <v>-</v>
      </c>
      <c r="AB151" s="435" t="str">
        <v>LC-130</v>
      </c>
      <c r="AC151" s="435">
        <v>45621</v>
      </c>
      <c r="AD151" s="462" t="str">
        <v>Yes</v>
      </c>
      <c r="AE151" s="462" t="str">
        <v>FY25 inter</v>
      </c>
      <c r="AF151" s="462" t="str">
        <v>FY25 intra</v>
      </c>
      <c r="AG151" s="435" t="str">
        <v>T. Karg</v>
      </c>
      <c r="AH151" s="435">
        <v>44459</v>
      </c>
      <c r="AI151" s="435" t="str">
        <v>D. Tosi</v>
      </c>
      <c r="AJ151" s="435">
        <v>44461</v>
      </c>
      <c r="AK151" s="462" t="str">
        <v>Assume 2x20HC containers for transport on COMSUR (TBC). Pallets could be loaded to 53 ft truck and loaded into a loaned container in PTH but this would increase touch points (and risk)</v>
      </c>
      <c r="AL151" s="451">
        <v>0</v>
      </c>
    </row>
    <row r="152" spans="1:38" ht="33.950000000000003">
      <c r="A152" s="478">
        <v>1.3</v>
      </c>
      <c r="B152" s="479" t="str">
        <v>Installation</v>
      </c>
      <c r="C152" s="481" t="str">
        <v>DM-Ice</v>
      </c>
      <c r="D152" s="481" t="str">
        <v>DM-ice (two modules for string 89 and 90) - Do Not Deep Freeze</v>
      </c>
      <c r="E152" s="482">
        <v>48</v>
      </c>
      <c r="F152" s="482">
        <v>48</v>
      </c>
      <c r="G152" s="482">
        <v>48</v>
      </c>
      <c r="H152" s="445">
        <v>1</v>
      </c>
      <c r="I152" s="441">
        <v>64</v>
      </c>
      <c r="J152" s="441">
        <v>1500</v>
      </c>
      <c r="K152" s="441">
        <v>1500</v>
      </c>
      <c r="L152" s="483" t="str">
        <v>estimated</v>
      </c>
      <c r="M152" s="493" t="str">
        <v>DNDF [-40C]</v>
      </c>
      <c r="N152" s="462" t="str">
        <v>Yale</v>
      </c>
      <c r="O152" s="473">
        <v>61</v>
      </c>
      <c r="P152" s="429">
        <v>45444</v>
      </c>
      <c r="Q152" s="429" t="str">
        <v>Yale - PTH</v>
      </c>
      <c r="R152" s="429">
        <v>45505</v>
      </c>
      <c r="S152" s="457" t="str">
        <v>Truck</v>
      </c>
      <c r="T152" s="458" t="str">
        <v>PTH - CHC</v>
      </c>
      <c r="U152" s="458" t="str">
        <v>-</v>
      </c>
      <c r="V152" s="459" t="str">
        <v>ComSur</v>
      </c>
      <c r="W152" s="460" t="str">
        <v>CHC - MCM</v>
      </c>
      <c r="X152" s="460" t="str">
        <v>-</v>
      </c>
      <c r="Y152" s="426" t="str">
        <v>USAP Air</v>
      </c>
      <c r="Z152" s="426">
        <v>45597</v>
      </c>
      <c r="AA152" s="435" t="str">
        <v>-</v>
      </c>
      <c r="AB152" s="435" t="str">
        <v>LC-130</v>
      </c>
      <c r="AC152" s="435">
        <v>45621</v>
      </c>
      <c r="AD152" s="462" t="str">
        <v>Yes</v>
      </c>
      <c r="AE152" s="462" t="str">
        <v>FY25 inter</v>
      </c>
      <c r="AF152" s="462" t="str">
        <v>FY25 intra</v>
      </c>
      <c r="AG152" s="435" t="str">
        <v>M. Kauer</v>
      </c>
      <c r="AH152" s="435">
        <v>44459</v>
      </c>
      <c r="AI152" s="435" t="str">
        <v>D. Tosi</v>
      </c>
      <c r="AJ152" s="435">
        <v>44459</v>
      </c>
      <c r="AK152" s="462">
        <v>0</v>
      </c>
      <c r="AL152" s="451">
        <v>0</v>
      </c>
    </row>
    <row r="153" spans="1:38" ht="51">
      <c r="A153" s="477">
        <v>1.3</v>
      </c>
      <c r="B153" s="475" t="str">
        <v>Installation</v>
      </c>
      <c r="C153" s="472" t="str">
        <v>String Sensors 89-93</v>
      </c>
      <c r="D153" s="472" t="str">
        <v>Optical sensors for 5 strings from Germany (mDOMs) - Do Not Deep Freeze</v>
      </c>
      <c r="E153" s="445">
        <v>40</v>
      </c>
      <c r="F153" s="445">
        <v>48</v>
      </c>
      <c r="G153" s="445">
        <v>46</v>
      </c>
      <c r="H153" s="445">
        <v>12</v>
      </c>
      <c r="I153" s="441">
        <v>613.33333333333337</v>
      </c>
      <c r="J153" s="441">
        <v>573</v>
      </c>
      <c r="K153" s="441">
        <v>6876</v>
      </c>
      <c r="L153" s="485" t="str">
        <v>actual(**)</v>
      </c>
      <c r="M153" s="463" t="str">
        <v>DNDF [-40C]</v>
      </c>
      <c r="N153" s="462" t="str">
        <v>DESY</v>
      </c>
      <c r="O153" s="473">
        <v>397</v>
      </c>
      <c r="P153" s="429">
        <v>45108</v>
      </c>
      <c r="Q153" s="429" t="str">
        <v>DESY - CHC</v>
      </c>
      <c r="R153" s="429">
        <v>45505</v>
      </c>
      <c r="S153" s="457" t="str">
        <v>ComSur</v>
      </c>
      <c r="T153" s="458" t="str">
        <v>DESY-CHC</v>
      </c>
      <c r="U153" s="458" t="str">
        <v>-</v>
      </c>
      <c r="V153" s="459" t="str">
        <v>ComSur</v>
      </c>
      <c r="W153" s="460" t="str">
        <v>CHC - MCM</v>
      </c>
      <c r="X153" s="460" t="str">
        <v>-</v>
      </c>
      <c r="Y153" s="435" t="str">
        <v>USAP  Air</v>
      </c>
      <c r="Z153" s="426">
        <v>45597</v>
      </c>
      <c r="AA153" s="435" t="str">
        <v>-</v>
      </c>
      <c r="AB153" s="435" t="str">
        <v>LC-130</v>
      </c>
      <c r="AC153" s="435">
        <v>45621</v>
      </c>
      <c r="AD153" s="462" t="str">
        <v>Yes</v>
      </c>
      <c r="AE153" s="462" t="str">
        <v>FY25 inter</v>
      </c>
      <c r="AF153" s="462" t="str">
        <v>FY25 intra</v>
      </c>
      <c r="AG153" s="435" t="str">
        <v>T. Karg</v>
      </c>
      <c r="AH153" s="435">
        <v>44459</v>
      </c>
      <c r="AI153" s="435" t="str">
        <v>D. Tosi</v>
      </c>
      <c r="AJ153" s="435">
        <v>44461</v>
      </c>
      <c r="AK153" s="462" t="str">
        <v>mDOM weight is (28kg/sensor boxed) + 35kg pallet, assume 8 mDOMs/pallet - 190 to be deployed + 10 spares. (**) shipped in 20 HC container. Container not included in weight as pallets will be taken out.</v>
      </c>
      <c r="AL153" s="451">
        <v>0</v>
      </c>
    </row>
    <row r="154" spans="1:38" ht="51">
      <c r="A154" s="477">
        <v>1.3</v>
      </c>
      <c r="B154" s="475" t="str">
        <v>Installation</v>
      </c>
      <c r="C154" s="472" t="str">
        <v>Special Devices 89-93</v>
      </c>
      <c r="D154" s="472" t="str">
        <v>Special devices for 5 remaining strings from DESY/Germany/Sweden (6 WOMs,  3 Abalone Hubs or WOM Traps)  no spares - Do Not Deep Freeze</v>
      </c>
      <c r="E154" s="445">
        <v>32</v>
      </c>
      <c r="F154" s="445">
        <v>31</v>
      </c>
      <c r="G154" s="445">
        <v>89</v>
      </c>
      <c r="H154" s="445">
        <v>1</v>
      </c>
      <c r="I154" s="441">
        <v>51.092592592592595</v>
      </c>
      <c r="J154" s="441">
        <v>1035</v>
      </c>
      <c r="K154" s="441">
        <v>1035</v>
      </c>
      <c r="L154" s="485" t="str">
        <v>preliminary</v>
      </c>
      <c r="M154" s="463" t="str">
        <v>DNDF [-40C]</v>
      </c>
      <c r="N154" s="462" t="str">
        <v>Mainz</v>
      </c>
      <c r="O154" s="473">
        <v>213</v>
      </c>
      <c r="P154" s="429">
        <v>45292</v>
      </c>
      <c r="Q154" s="429" t="str">
        <v>DESY - CHC</v>
      </c>
      <c r="R154" s="429">
        <v>45505</v>
      </c>
      <c r="S154" s="457" t="str">
        <v>ComSur</v>
      </c>
      <c r="T154" s="458" t="str">
        <v>DESY-CHC</v>
      </c>
      <c r="U154" s="458" t="str">
        <v>-</v>
      </c>
      <c r="V154" s="459" t="str">
        <v>ComSur</v>
      </c>
      <c r="W154" s="460" t="str">
        <v>CHC - MCM</v>
      </c>
      <c r="X154" s="460" t="str">
        <v>-</v>
      </c>
      <c r="Y154" s="435" t="str">
        <v>USAP  Air</v>
      </c>
      <c r="Z154" s="426">
        <v>45597</v>
      </c>
      <c r="AA154" s="435" t="str">
        <v>-</v>
      </c>
      <c r="AB154" s="435" t="str">
        <v>LC-130</v>
      </c>
      <c r="AC154" s="435">
        <v>45621</v>
      </c>
      <c r="AD154" s="462" t="str">
        <v>Yes</v>
      </c>
      <c r="AE154" s="462" t="str">
        <v>FY25 inter</v>
      </c>
      <c r="AF154" s="462" t="str">
        <v>FY25 intra</v>
      </c>
      <c r="AG154" s="435" t="str">
        <v>S. Boeser</v>
      </c>
      <c r="AH154" s="435">
        <v>44482</v>
      </c>
      <c r="AI154" s="435" t="str">
        <v>D. Tosi</v>
      </c>
      <c r="AJ154" s="435">
        <v>44482</v>
      </c>
      <c r="AK154" s="462" t="str">
        <v>6 Special Devices from Germany 6 (WOM + 0 AH) including 0 spare for each. Assume 170 lbs crate.</v>
      </c>
      <c r="AL154" s="451">
        <v>0</v>
      </c>
    </row>
    <row r="155" spans="1:38" ht="51">
      <c r="A155" s="477">
        <v>1.5</v>
      </c>
      <c r="B155" s="475" t="str">
        <v>Installation</v>
      </c>
      <c r="C155" s="472" t="str">
        <v>Calibration Devices 89-93</v>
      </c>
      <c r="D155" s="472" t="str">
        <v>Calibration for 5 strings from DESY/Germany/Sweden (17+2 POCAMs, 7+ 1 Acoustic sensors,  3+ 1 Swedish Cameras) including spares - Do Not Deep Freeze</v>
      </c>
      <c r="E155" s="445">
        <v>62</v>
      </c>
      <c r="F155" s="445">
        <v>48</v>
      </c>
      <c r="G155" s="445">
        <v>44</v>
      </c>
      <c r="H155" s="445">
        <v>1</v>
      </c>
      <c r="I155" s="441">
        <v>75.777777777777771</v>
      </c>
      <c r="J155" s="441">
        <v>1694</v>
      </c>
      <c r="K155" s="441">
        <v>1694</v>
      </c>
      <c r="L155" s="485" t="str">
        <v>preliminary</v>
      </c>
      <c r="M155" s="492" t="str">
        <v>DNDF [-40C]</v>
      </c>
      <c r="N155" s="462" t="str">
        <v>TUM/Aachen/Sweden</v>
      </c>
      <c r="O155" s="473">
        <v>792</v>
      </c>
      <c r="P155" s="429">
        <v>44713</v>
      </c>
      <c r="Q155" s="429" t="str">
        <v>DESY - CHC</v>
      </c>
      <c r="R155" s="429">
        <v>45505</v>
      </c>
      <c r="S155" s="457" t="str">
        <v>ComSur</v>
      </c>
      <c r="T155" s="458" t="str">
        <v>DESY-CHC</v>
      </c>
      <c r="U155" s="458" t="str">
        <v>-</v>
      </c>
      <c r="V155" s="459" t="str">
        <v>ComSur</v>
      </c>
      <c r="W155" s="460" t="str">
        <v>CHC-MCM</v>
      </c>
      <c r="X155" s="460" t="str">
        <v>-</v>
      </c>
      <c r="Y155" s="435" t="str">
        <v>USAP  Air</v>
      </c>
      <c r="Z155" s="426">
        <v>45597</v>
      </c>
      <c r="AA155" s="435" t="str">
        <v>-</v>
      </c>
      <c r="AB155" s="435" t="str">
        <v>LC-130</v>
      </c>
      <c r="AC155" s="435">
        <v>45621</v>
      </c>
      <c r="AD155" s="462" t="str">
        <v>Yes</v>
      </c>
      <c r="AE155" s="462" t="str">
        <v>FY25 inter</v>
      </c>
      <c r="AF155" s="462" t="str">
        <v>FY25 intra</v>
      </c>
      <c r="AG155" s="435" t="str">
        <v>D. Williams</v>
      </c>
      <c r="AH155" s="435">
        <v>44482</v>
      </c>
      <c r="AI155" s="435" t="str">
        <v>D. Tosi</v>
      </c>
      <c r="AJ155" s="435">
        <v>44482</v>
      </c>
      <c r="AK155" s="462" t="str">
        <v>Calibration devices for strings 89-93 = 3+1 Sweden Camera,7+1 + Acoustic Module,17 +1 POCAM, including spares, 200 lbs crate</v>
      </c>
      <c r="AL155" s="451">
        <v>0</v>
      </c>
    </row>
    <row r="156" spans="1:38" ht="33.950000000000003">
      <c r="A156" s="477">
        <v>1.3</v>
      </c>
      <c r="B156" s="475" t="str">
        <v>Installation</v>
      </c>
      <c r="C156" s="472" t="str">
        <v>String Sensors 89-93</v>
      </c>
      <c r="D156" s="472" t="str">
        <v>Sensors (D-Eggs) pallets with 8 sensors in McMurdo overwinter - Do Not Deep Freeze</v>
      </c>
      <c r="E156" s="494">
        <v>41</v>
      </c>
      <c r="F156" s="494">
        <v>41</v>
      </c>
      <c r="G156" s="494">
        <v>69</v>
      </c>
      <c r="H156" s="445">
        <v>10</v>
      </c>
      <c r="I156" s="441">
        <v>671.23263888888891</v>
      </c>
      <c r="J156" s="441">
        <v>750</v>
      </c>
      <c r="K156" s="441">
        <v>7500</v>
      </c>
      <c r="L156" s="485" t="str">
        <v>actual</v>
      </c>
      <c r="M156" s="463" t="str">
        <v>DNDF [-40C]</v>
      </c>
      <c r="N156" s="462" t="str">
        <v>Chiba</v>
      </c>
      <c r="O156" s="473">
        <v>61</v>
      </c>
      <c r="P156" s="429">
        <v>45078</v>
      </c>
      <c r="Q156" s="429" t="str">
        <v>ChibaU - CHC</v>
      </c>
      <c r="R156" s="429">
        <v>45139</v>
      </c>
      <c r="S156" s="457" t="str">
        <v>Cargo shipment by CHU</v>
      </c>
      <c r="T156" s="458" t="str">
        <v>ChibaU - CHC</v>
      </c>
      <c r="U156" s="458" t="str">
        <v>-</v>
      </c>
      <c r="V156" s="459" t="str">
        <v>ComSur</v>
      </c>
      <c r="W156" s="460" t="str">
        <v>CHC - MCM</v>
      </c>
      <c r="X156" s="460" t="str">
        <v>-</v>
      </c>
      <c r="Y156" s="435" t="str">
        <v>USAP Air</v>
      </c>
      <c r="Z156" s="426">
        <v>45597</v>
      </c>
      <c r="AA156" s="435" t="str">
        <v>-</v>
      </c>
      <c r="AB156" s="435" t="str">
        <v>LC-130</v>
      </c>
      <c r="AC156" s="435">
        <v>45621</v>
      </c>
      <c r="AD156" s="462" t="str">
        <v>Yes</v>
      </c>
      <c r="AE156" s="462" t="str">
        <v>FY25 inter</v>
      </c>
      <c r="AF156" s="462" t="str">
        <v>FY25 intra</v>
      </c>
      <c r="AG156" s="435" t="str">
        <v>S. Yoshida</v>
      </c>
      <c r="AH156" s="435">
        <v>44461</v>
      </c>
      <c r="AI156" s="435" t="str">
        <v>D. Tosi</v>
      </c>
      <c r="AJ156" s="435">
        <v>44461</v>
      </c>
      <c r="AK156" s="462" t="str">
        <v>Pallet sizes are under review. shipped in 20 and 40ft container. Container weight not included in the assumption that pallet will be taken out in CHC.</v>
      </c>
      <c r="AL156" s="451">
        <v>0</v>
      </c>
    </row>
    <row r="157" spans="1:38" ht="33.950000000000003">
      <c r="A157" s="478">
        <v>1.3</v>
      </c>
      <c r="B157" s="479" t="str">
        <v>Installation</v>
      </c>
      <c r="C157" s="481" t="str">
        <v>String Sensors 89-93</v>
      </c>
      <c r="D157" s="465" t="str">
        <v>Sensors (D-Eggs) pallets with 12 sensors  in McMurdo overwinter - Do Not Deep Freeze</v>
      </c>
      <c r="E157" s="482">
        <v>60</v>
      </c>
      <c r="F157" s="482">
        <v>41</v>
      </c>
      <c r="G157" s="482">
        <v>69</v>
      </c>
      <c r="H157" s="445">
        <v>10</v>
      </c>
      <c r="I157" s="441">
        <v>982.29166666666674</v>
      </c>
      <c r="J157" s="441">
        <v>1102</v>
      </c>
      <c r="K157" s="441">
        <v>11020</v>
      </c>
      <c r="L157" s="485" t="str">
        <v>actual</v>
      </c>
      <c r="M157" s="484" t="str">
        <v>DNDF [-40C]</v>
      </c>
      <c r="N157" s="462" t="str">
        <v>Chiba</v>
      </c>
      <c r="O157" s="473">
        <v>61</v>
      </c>
      <c r="P157" s="429">
        <v>45078</v>
      </c>
      <c r="Q157" s="429" t="str">
        <v>ChibaU - CHC</v>
      </c>
      <c r="R157" s="429">
        <v>45139</v>
      </c>
      <c r="S157" s="457" t="str">
        <v>Cargo shipment by CHU</v>
      </c>
      <c r="T157" s="458" t="str">
        <v>ChibaU - CHC</v>
      </c>
      <c r="U157" s="458" t="str">
        <v>-</v>
      </c>
      <c r="V157" s="459" t="str">
        <v>ComSur</v>
      </c>
      <c r="W157" s="460" t="str">
        <v>CHC - MCM</v>
      </c>
      <c r="X157" s="460" t="str">
        <v>-</v>
      </c>
      <c r="Y157" s="435" t="str">
        <v>USAP Air</v>
      </c>
      <c r="Z157" s="426">
        <v>45597</v>
      </c>
      <c r="AA157" s="435" t="str">
        <v>-</v>
      </c>
      <c r="AB157" s="435" t="str">
        <v>LC-130</v>
      </c>
      <c r="AC157" s="435">
        <v>45621</v>
      </c>
      <c r="AD157" s="462" t="str">
        <v>Yes</v>
      </c>
      <c r="AE157" s="462" t="str">
        <v>FY25 inter</v>
      </c>
      <c r="AF157" s="462" t="str">
        <v>FY25 intra</v>
      </c>
      <c r="AG157" s="435" t="str">
        <v>S. Yoshida</v>
      </c>
      <c r="AH157" s="435">
        <v>44461</v>
      </c>
      <c r="AI157" s="435" t="str">
        <v>D. Tosi</v>
      </c>
      <c r="AJ157" s="435">
        <v>44461</v>
      </c>
      <c r="AK157" s="462" t="str">
        <v>Pallet sizes are under review. shipped in 20 and 40ft container. Container weight not included in the assumption that pallet will be taken out in CHC.</v>
      </c>
      <c r="AL157" s="451">
        <v>0</v>
      </c>
    </row>
    <row r="158" spans="1:38" ht="33.950000000000003">
      <c r="A158" s="474">
        <v>1.2</v>
      </c>
      <c r="B158" s="475">
        <v>0</v>
      </c>
      <c r="C158" s="465" t="str">
        <v>Field Season 3 Fuel</v>
      </c>
      <c r="D158" s="465" t="str">
        <v>Fuel to support FY25 field season - Base fuel &amp; deep drilling</v>
      </c>
      <c r="E158" s="449">
        <v>0</v>
      </c>
      <c r="F158" s="449">
        <v>0</v>
      </c>
      <c r="G158" s="449">
        <v>0</v>
      </c>
      <c r="H158" s="449">
        <v>62694</v>
      </c>
      <c r="I158" s="441">
        <v>8380.9681679883215</v>
      </c>
      <c r="J158" s="441">
        <v>6.8</v>
      </c>
      <c r="K158" s="441">
        <v>426319.2</v>
      </c>
      <c r="L158" s="485" t="str">
        <v>preliminary</v>
      </c>
      <c r="M158" s="463">
        <v>0</v>
      </c>
      <c r="N158" s="462">
        <v>0</v>
      </c>
      <c r="O158" s="473">
        <v>0</v>
      </c>
      <c r="P158" s="429" t="str">
        <v>-</v>
      </c>
      <c r="Q158" s="429" t="str">
        <v>-</v>
      </c>
      <c r="R158" s="429" t="str">
        <v>-</v>
      </c>
      <c r="S158" s="457" t="str">
        <v>-</v>
      </c>
      <c r="T158" s="458" t="str">
        <v>-</v>
      </c>
      <c r="U158" s="458" t="str">
        <v>-</v>
      </c>
      <c r="V158" s="459" t="str">
        <v>-</v>
      </c>
      <c r="W158" s="460" t="str">
        <v>-</v>
      </c>
      <c r="X158" s="460" t="str">
        <v>-</v>
      </c>
      <c r="Y158" s="435" t="str">
        <v>-</v>
      </c>
      <c r="Z158" s="426">
        <v>45597</v>
      </c>
      <c r="AA158" s="435" t="str">
        <v>-</v>
      </c>
      <c r="AB158" s="435" t="str">
        <v>LC-130/SPoT</v>
      </c>
      <c r="AC158" s="435">
        <v>45627</v>
      </c>
      <c r="AD158" s="462" t="str">
        <v>Yes</v>
      </c>
      <c r="AE158" s="462" t="str">
        <v>FY25 inter</v>
      </c>
      <c r="AF158" s="462" t="str">
        <v>FY25 intra</v>
      </c>
      <c r="AG158" s="435" t="str">
        <v>T. Benson</v>
      </c>
      <c r="AH158" s="435">
        <v>44483</v>
      </c>
      <c r="AI158" s="435" t="str">
        <v>I. McEwen</v>
      </c>
      <c r="AJ158" s="435">
        <v>44483</v>
      </c>
      <c r="AK158" s="462">
        <v>0</v>
      </c>
      <c r="AL158" s="451">
        <v>0</v>
      </c>
    </row>
    <row r="159" spans="1:38" ht="17.100000000000001">
      <c r="A159" s="474">
        <v>1.2</v>
      </c>
      <c r="B159" s="475">
        <v>0</v>
      </c>
      <c r="C159" s="465" t="str">
        <v>Field Season 3 Fuel Contingency</v>
      </c>
      <c r="D159" s="465" t="str">
        <v>Fuel to suppport FY25 field season - Contingency</v>
      </c>
      <c r="E159" s="449">
        <v>0</v>
      </c>
      <c r="F159" s="449">
        <v>0</v>
      </c>
      <c r="G159" s="449">
        <v>0</v>
      </c>
      <c r="H159" s="449">
        <v>8473</v>
      </c>
      <c r="I159" s="441">
        <v>1132.6752685642175</v>
      </c>
      <c r="J159" s="441">
        <v>6.8</v>
      </c>
      <c r="K159" s="441">
        <v>57616.4</v>
      </c>
      <c r="L159" s="485" t="str">
        <v>preliminary</v>
      </c>
      <c r="M159" s="463">
        <v>0</v>
      </c>
      <c r="N159" s="462">
        <v>0</v>
      </c>
      <c r="O159" s="473">
        <v>0</v>
      </c>
      <c r="P159" s="429" t="str">
        <v>-</v>
      </c>
      <c r="Q159" s="429" t="str">
        <v>-</v>
      </c>
      <c r="R159" s="429" t="str">
        <v>-</v>
      </c>
      <c r="S159" s="457" t="str">
        <v>-</v>
      </c>
      <c r="T159" s="458" t="str">
        <v>-</v>
      </c>
      <c r="U159" s="458" t="str">
        <v>-</v>
      </c>
      <c r="V159" s="459" t="str">
        <v>-</v>
      </c>
      <c r="W159" s="460" t="str">
        <v>-</v>
      </c>
      <c r="X159" s="460" t="str">
        <v>-</v>
      </c>
      <c r="Y159" s="435" t="str">
        <v>-</v>
      </c>
      <c r="Z159" s="426">
        <v>45597</v>
      </c>
      <c r="AA159" s="435" t="str">
        <v>-</v>
      </c>
      <c r="AB159" s="435" t="str">
        <v>LC-130/SPoT</v>
      </c>
      <c r="AC159" s="435">
        <v>45627</v>
      </c>
      <c r="AD159" s="462" t="str">
        <v>Yes</v>
      </c>
      <c r="AE159" s="462" t="str">
        <v>FY25 inter</v>
      </c>
      <c r="AF159" s="462" t="str">
        <v>FY25 intra</v>
      </c>
      <c r="AG159" s="435" t="str">
        <v>T. Benson</v>
      </c>
      <c r="AH159" s="435">
        <v>44483</v>
      </c>
      <c r="AI159" s="435" t="str">
        <v>I. McEwen</v>
      </c>
      <c r="AJ159" s="435">
        <v>44483</v>
      </c>
      <c r="AK159" s="462">
        <v>0</v>
      </c>
      <c r="AL159" s="451">
        <v>0</v>
      </c>
    </row>
    <row r="160" spans="1:38">
      <c r="A160" s="466"/>
      <c r="B160" s="451"/>
      <c r="C160" s="451"/>
      <c r="D160" s="451"/>
      <c r="E160" s="467"/>
      <c r="F160" s="467"/>
      <c r="G160" s="467"/>
      <c r="H160" s="467"/>
      <c r="I160" s="136">
        <f>SUBTOTAL(9,I140:I159)</f>
        <v>13958.265832385872</v>
      </c>
      <c r="J160" s="136"/>
      <c r="K160" s="136">
        <f t="shared" ref="K160" si="5">SUBTOTAL(9,K140:K159)</f>
        <v>539984.6</v>
      </c>
      <c r="L160" s="451"/>
      <c r="M160" s="451"/>
      <c r="N160" s="451"/>
      <c r="O160" s="468"/>
      <c r="P160" s="469"/>
      <c r="Q160" s="469"/>
      <c r="R160" s="469"/>
      <c r="S160" s="451"/>
      <c r="T160" s="469"/>
      <c r="U160" s="469"/>
      <c r="V160" s="451"/>
      <c r="W160" s="469"/>
      <c r="X160" s="469"/>
      <c r="Y160" s="469"/>
      <c r="Z160" s="469"/>
      <c r="AA160" s="469"/>
      <c r="AB160" s="469"/>
      <c r="AC160" s="469"/>
      <c r="AD160" s="451"/>
      <c r="AE160" s="451"/>
      <c r="AF160" s="451"/>
      <c r="AG160" s="469"/>
      <c r="AH160" s="469"/>
      <c r="AI160" s="469"/>
      <c r="AJ160" s="469"/>
      <c r="AK160" s="451"/>
      <c r="AL160" s="451"/>
    </row>
    <row r="164" spans="1:38" ht="18.95">
      <c r="A164" s="252" t="s">
        <v>433</v>
      </c>
      <c r="B164" s="221" t="s">
        <v>350</v>
      </c>
      <c r="C164" s="221"/>
      <c r="D164" s="221"/>
      <c r="E164" s="225"/>
      <c r="F164" s="225"/>
      <c r="G164" s="225"/>
      <c r="H164" s="225"/>
      <c r="I164" s="225"/>
      <c r="J164" s="225"/>
      <c r="K164" s="225"/>
      <c r="L164" s="221"/>
      <c r="M164" s="221"/>
      <c r="N164" s="221"/>
      <c r="O164" s="398"/>
      <c r="P164" s="227"/>
      <c r="Q164" s="227"/>
      <c r="R164" s="227"/>
      <c r="S164" s="221"/>
      <c r="T164" s="227"/>
      <c r="U164" s="227"/>
      <c r="V164" s="221"/>
      <c r="W164" s="227"/>
      <c r="X164" s="227"/>
      <c r="Y164" s="227"/>
      <c r="Z164" s="227"/>
      <c r="AA164" s="227"/>
      <c r="AB164" s="227"/>
      <c r="AC164" s="227"/>
      <c r="AD164" s="221"/>
      <c r="AE164" s="221"/>
      <c r="AF164" s="221"/>
      <c r="AG164" s="227"/>
      <c r="AH164" s="227"/>
      <c r="AI164" s="227"/>
      <c r="AJ164" s="227"/>
      <c r="AK164" s="221"/>
      <c r="AL164" s="451"/>
    </row>
    <row r="165" spans="1:38" ht="33.950000000000003">
      <c r="A165" s="470" cm="1">
        <f t="array" ref="A165:AL187">_xlfn._xlws.FILTER(cargo_table, intra_shipping_label=B164)</f>
        <v>1.2</v>
      </c>
      <c r="B165" s="453" t="str">
        <v>Drill</v>
      </c>
      <c r="C165" s="471" t="str">
        <v>Computing/controls components</v>
      </c>
      <c r="D165" s="472" t="str">
        <v>Computing and controls equipment (Sensor, motor drives and other sensitive electronics) - Do Not Freeze</v>
      </c>
      <c r="E165" s="441">
        <v>96</v>
      </c>
      <c r="F165" s="441">
        <v>48</v>
      </c>
      <c r="G165" s="441">
        <v>48</v>
      </c>
      <c r="H165" s="441">
        <v>1</v>
      </c>
      <c r="I165" s="441">
        <v>128</v>
      </c>
      <c r="J165" s="441">
        <v>3000</v>
      </c>
      <c r="K165" s="441">
        <v>3000</v>
      </c>
      <c r="L165" s="462" t="str">
        <v>estimated</v>
      </c>
      <c r="M165" s="462" t="str">
        <v>DNF</v>
      </c>
      <c r="N165" s="462" t="str">
        <v xml:space="preserve"> U. Wisc. Madison</v>
      </c>
      <c r="O165" s="473">
        <v>31</v>
      </c>
      <c r="P165" s="429">
        <v>45474</v>
      </c>
      <c r="Q165" s="429" t="str">
        <v>UWM - PTH</v>
      </c>
      <c r="R165" s="429">
        <v>45505</v>
      </c>
      <c r="S165" s="457" t="str">
        <v>Truck</v>
      </c>
      <c r="T165" s="458" t="str">
        <v>PTH - CHC</v>
      </c>
      <c r="U165" s="458" t="str">
        <v>-</v>
      </c>
      <c r="V165" s="459" t="str">
        <v>ComSur</v>
      </c>
      <c r="W165" s="460" t="str">
        <v>CHC-MCM</v>
      </c>
      <c r="X165" s="460" t="str">
        <v>-</v>
      </c>
      <c r="Y165" s="88" t="str">
        <v>USAP Air</v>
      </c>
      <c r="Z165" s="426">
        <v>45597</v>
      </c>
      <c r="AA165" s="435" t="str">
        <v>-</v>
      </c>
      <c r="AB165" s="435" t="str">
        <v>LC-130</v>
      </c>
      <c r="AC165" s="435">
        <v>45611</v>
      </c>
      <c r="AD165" s="462" t="str">
        <v>Yes</v>
      </c>
      <c r="AE165" s="462" t="str">
        <v>FY25 inter</v>
      </c>
      <c r="AF165" s="462" t="str">
        <v>FY25 intra</v>
      </c>
      <c r="AG165" s="435" t="str">
        <v>D. Gibson</v>
      </c>
      <c r="AH165" s="435">
        <v>44477</v>
      </c>
      <c r="AI165" s="435" t="str">
        <v>I. McEwen</v>
      </c>
      <c r="AJ165" s="435">
        <v>44477</v>
      </c>
      <c r="AK165" s="462">
        <v>0</v>
      </c>
      <c r="AL165" s="451">
        <v>0</v>
      </c>
    </row>
    <row r="166" spans="1:38" ht="51">
      <c r="A166" s="474">
        <v>1.3</v>
      </c>
      <c r="B166" s="475" t="str">
        <v>Installation</v>
      </c>
      <c r="C166" s="465" t="str">
        <v>Special Devices 89-93</v>
      </c>
      <c r="D166" s="465" t="str">
        <v>Special devices for 5 remaining strings from UW (4+1 FOM,2+1 Radio Receivers, 11+1 LOM + seismometer*) - Do Not Deep Freeze</v>
      </c>
      <c r="E166" s="441">
        <v>81</v>
      </c>
      <c r="F166" s="441">
        <v>56</v>
      </c>
      <c r="G166" s="441">
        <v>51</v>
      </c>
      <c r="H166" s="445">
        <v>1</v>
      </c>
      <c r="I166" s="441">
        <v>133.875</v>
      </c>
      <c r="J166" s="441">
        <v>1797</v>
      </c>
      <c r="K166" s="441">
        <v>1797</v>
      </c>
      <c r="L166" s="462" t="str">
        <v>estimated</v>
      </c>
      <c r="M166" s="476" t="str">
        <v>DNDF [-40C]</v>
      </c>
      <c r="N166" s="462" t="str">
        <v>UWM/Kansas</v>
      </c>
      <c r="O166" s="473">
        <v>213</v>
      </c>
      <c r="P166" s="429">
        <v>45292</v>
      </c>
      <c r="Q166" s="429" t="str">
        <v>UWM - PTH</v>
      </c>
      <c r="R166" s="429">
        <v>45505</v>
      </c>
      <c r="S166" s="457" t="str">
        <v>Truck</v>
      </c>
      <c r="T166" s="458" t="str">
        <v>PTH - CHC</v>
      </c>
      <c r="U166" s="458" t="str">
        <v>-</v>
      </c>
      <c r="V166" s="459" t="str">
        <v>ComAir</v>
      </c>
      <c r="W166" s="460" t="str">
        <v>CHC-MCM</v>
      </c>
      <c r="X166" s="460" t="str">
        <v>-</v>
      </c>
      <c r="Y166" s="88" t="str">
        <v>USAP Air</v>
      </c>
      <c r="Z166" s="426">
        <v>45597</v>
      </c>
      <c r="AA166" s="435" t="str">
        <v>-</v>
      </c>
      <c r="AB166" s="435" t="str">
        <v>LC-130</v>
      </c>
      <c r="AC166" s="435">
        <v>45621</v>
      </c>
      <c r="AD166" s="462" t="str">
        <v>Yes</v>
      </c>
      <c r="AE166" s="462" t="str">
        <v>FY25 inter</v>
      </c>
      <c r="AF166" s="462" t="str">
        <v>FY25 intra</v>
      </c>
      <c r="AG166" s="435" t="str">
        <v>S. Boeser</v>
      </c>
      <c r="AH166" s="435">
        <v>44482</v>
      </c>
      <c r="AI166" s="435" t="str">
        <v>D. Tosi</v>
      </c>
      <c r="AJ166" s="435">
        <v>44482</v>
      </c>
      <c r="AK166" s="462" t="str">
        <v xml:space="preserve">21 Special Devices from USA (11+ 1 LOM, 4+1 FOM, 2+1 RR, FTS ? , seismometer), assume mDOM weight. 200 lbs wood crate. FTS not included. (*) Seismometer not yet in CMD </v>
      </c>
      <c r="AL166" s="451">
        <v>0</v>
      </c>
    </row>
    <row r="167" spans="1:38" ht="33.950000000000003">
      <c r="A167" s="477">
        <v>1.5</v>
      </c>
      <c r="B167" s="475" t="str">
        <v>Installation</v>
      </c>
      <c r="C167" s="472" t="str">
        <v>Calibration/Special Devices  89-93</v>
      </c>
      <c r="D167" s="472" t="str">
        <v>8+1 PencilBeams, 12+1 pDOMs from UW - Do Not Deep Freeze</v>
      </c>
      <c r="E167" s="445">
        <v>75</v>
      </c>
      <c r="F167" s="445">
        <v>56.5</v>
      </c>
      <c r="G167" s="445">
        <v>41</v>
      </c>
      <c r="H167" s="445">
        <v>1</v>
      </c>
      <c r="I167" s="441">
        <v>100.54253472222223</v>
      </c>
      <c r="J167" s="441">
        <v>1602</v>
      </c>
      <c r="K167" s="441">
        <v>1602</v>
      </c>
      <c r="L167" s="462" t="str">
        <v>preliminary</v>
      </c>
      <c r="M167" s="463" t="str">
        <v>DNDF [-40C]</v>
      </c>
      <c r="N167" s="462" t="str">
        <v xml:space="preserve"> U. Wisc. Madison</v>
      </c>
      <c r="O167" s="473">
        <v>352</v>
      </c>
      <c r="P167" s="429">
        <v>45153</v>
      </c>
      <c r="Q167" s="429" t="str">
        <v>UWM - PTH</v>
      </c>
      <c r="R167" s="429">
        <v>45505</v>
      </c>
      <c r="S167" s="457" t="str">
        <v>Truck</v>
      </c>
      <c r="T167" s="458" t="str">
        <v>PTH - CHC</v>
      </c>
      <c r="U167" s="458" t="str">
        <v>-</v>
      </c>
      <c r="V167" s="459" t="str">
        <v>ComSur</v>
      </c>
      <c r="W167" s="460" t="str">
        <v>CHC-MCM</v>
      </c>
      <c r="X167" s="460" t="str">
        <v>-</v>
      </c>
      <c r="Y167" s="88" t="str">
        <v>USAP Air</v>
      </c>
      <c r="Z167" s="426">
        <v>45597</v>
      </c>
      <c r="AA167" s="435" t="str">
        <v>-</v>
      </c>
      <c r="AB167" s="435" t="str">
        <v>LC-130</v>
      </c>
      <c r="AC167" s="435">
        <v>45621</v>
      </c>
      <c r="AD167" s="462" t="str">
        <v>Yes</v>
      </c>
      <c r="AE167" s="462" t="str">
        <v>FY25 inter</v>
      </c>
      <c r="AF167" s="462" t="str">
        <v>FY25 intra</v>
      </c>
      <c r="AG167" s="435" t="str">
        <v>D. Williams</v>
      </c>
      <c r="AH167" s="435">
        <v>44482</v>
      </c>
      <c r="AI167" s="435" t="str">
        <v>D. Tosi</v>
      </c>
      <c r="AJ167" s="435">
        <v>44474</v>
      </c>
      <c r="AK167" s="462" t="str">
        <v xml:space="preserve">8+1 PencilBeams for strings 89-93, 12+1 pDOMs, assume mDOM weight. 244 lbs crate. </v>
      </c>
      <c r="AL167" s="451">
        <v>0</v>
      </c>
    </row>
    <row r="168" spans="1:38" ht="33.950000000000003">
      <c r="A168" s="470">
        <v>1.2</v>
      </c>
      <c r="B168" s="453" t="str">
        <v>Installation</v>
      </c>
      <c r="C168" s="471" t="str">
        <v>Misc. Science Equipment - FY25</v>
      </c>
      <c r="D168" s="471" t="str">
        <v>Scientific and test equipment  (Handheld test devices, Paros, et al.) - Do Not Freeze</v>
      </c>
      <c r="E168" s="441">
        <v>48</v>
      </c>
      <c r="F168" s="441">
        <v>48</v>
      </c>
      <c r="G168" s="441">
        <v>48</v>
      </c>
      <c r="H168" s="441">
        <v>1</v>
      </c>
      <c r="I168" s="441">
        <v>64</v>
      </c>
      <c r="J168" s="441">
        <v>1500</v>
      </c>
      <c r="K168" s="441">
        <v>1500</v>
      </c>
      <c r="L168" s="462" t="str">
        <v>estimated</v>
      </c>
      <c r="M168" s="462" t="str">
        <v>DNF</v>
      </c>
      <c r="N168" s="462" t="str">
        <v xml:space="preserve"> U. Wisc. Madison</v>
      </c>
      <c r="O168" s="473">
        <v>61</v>
      </c>
      <c r="P168" s="429">
        <v>45444</v>
      </c>
      <c r="Q168" s="429" t="str">
        <v>UWM - PTH</v>
      </c>
      <c r="R168" s="429">
        <v>45505</v>
      </c>
      <c r="S168" s="457" t="str">
        <v>Truck</v>
      </c>
      <c r="T168" s="458" t="str">
        <v>PTH - CHC</v>
      </c>
      <c r="U168" s="458" t="str">
        <v>-</v>
      </c>
      <c r="V168" s="459" t="str">
        <v>ComSur</v>
      </c>
      <c r="W168" s="460" t="str">
        <v>CHC-MCM</v>
      </c>
      <c r="X168" s="460" t="str">
        <v>-</v>
      </c>
      <c r="Y168" s="88" t="str">
        <v>USAP Air</v>
      </c>
      <c r="Z168" s="426">
        <v>45597</v>
      </c>
      <c r="AA168" s="435" t="str">
        <v>-</v>
      </c>
      <c r="AB168" s="435" t="str">
        <v>LC-130</v>
      </c>
      <c r="AC168" s="435">
        <v>45627</v>
      </c>
      <c r="AD168" s="462" t="str">
        <v>Yes</v>
      </c>
      <c r="AE168" s="462" t="str">
        <v>FY25 inter</v>
      </c>
      <c r="AF168" s="462" t="str">
        <v>FY25 intra</v>
      </c>
      <c r="AG168" s="435" t="str">
        <v>D. Tosi</v>
      </c>
      <c r="AH168" s="435">
        <v>44477</v>
      </c>
      <c r="AI168" s="435" t="str">
        <v>D. Tosi</v>
      </c>
      <c r="AJ168" s="435">
        <v>44477</v>
      </c>
      <c r="AK168" s="462">
        <v>0</v>
      </c>
      <c r="AL168" s="451">
        <v>0</v>
      </c>
    </row>
    <row r="169" spans="1:38" ht="33.950000000000003">
      <c r="A169" s="470">
        <v>1.5</v>
      </c>
      <c r="B169" s="453" t="str">
        <v>Installation</v>
      </c>
      <c r="C169" s="471" t="str">
        <v>Dust logging device</v>
      </c>
      <c r="D169" s="471" t="str">
        <v>Blue Logging device - sensitive equipment - Do Not Freeze</v>
      </c>
      <c r="E169" s="441">
        <v>48</v>
      </c>
      <c r="F169" s="441">
        <v>17</v>
      </c>
      <c r="G169" s="441">
        <v>17</v>
      </c>
      <c r="H169" s="441">
        <v>1</v>
      </c>
      <c r="I169" s="441">
        <v>8.0277777777777786</v>
      </c>
      <c r="J169" s="441">
        <v>60</v>
      </c>
      <c r="K169" s="441">
        <v>60</v>
      </c>
      <c r="L169" s="462" t="str">
        <v>actual</v>
      </c>
      <c r="M169" s="462" t="str">
        <v>DNF</v>
      </c>
      <c r="N169" s="462" t="str">
        <v xml:space="preserve"> U. Wisc. Madison</v>
      </c>
      <c r="O169" s="473">
        <v>61</v>
      </c>
      <c r="P169" s="429">
        <v>45444</v>
      </c>
      <c r="Q169" s="429" t="str">
        <v>UWM - PTH</v>
      </c>
      <c r="R169" s="429">
        <v>45505</v>
      </c>
      <c r="S169" s="457" t="str">
        <v>Truck</v>
      </c>
      <c r="T169" s="458" t="str">
        <v>PTH - CHC</v>
      </c>
      <c r="U169" s="458" t="str">
        <v>-</v>
      </c>
      <c r="V169" s="459" t="str">
        <v>ComAir</v>
      </c>
      <c r="W169" s="460" t="str">
        <v>CHC-MCM</v>
      </c>
      <c r="X169" s="460" t="str">
        <v>-</v>
      </c>
      <c r="Y169" s="88" t="str">
        <v>USAP Air</v>
      </c>
      <c r="Z169" s="426">
        <v>45597</v>
      </c>
      <c r="AA169" s="435" t="str">
        <v>-</v>
      </c>
      <c r="AB169" s="435" t="str">
        <v>LC-130</v>
      </c>
      <c r="AC169" s="435">
        <v>45621</v>
      </c>
      <c r="AD169" s="462" t="str">
        <v>Yes</v>
      </c>
      <c r="AE169" s="462" t="str">
        <v>FY25 inter</v>
      </c>
      <c r="AF169" s="462" t="str">
        <v>FY25 intra</v>
      </c>
      <c r="AG169" s="435" t="str">
        <v>D. Williams</v>
      </c>
      <c r="AH169" s="435">
        <v>44483</v>
      </c>
      <c r="AI169" s="435" t="str">
        <v>D. Tosi</v>
      </c>
      <c r="AJ169" s="435">
        <v>44457</v>
      </c>
      <c r="AK169" s="462" t="str">
        <v>Used weights from last deployment season shipment data (could be combined)</v>
      </c>
      <c r="AL169" s="451">
        <v>0</v>
      </c>
    </row>
    <row r="170" spans="1:38" ht="33.950000000000003">
      <c r="A170" s="477">
        <v>1.5</v>
      </c>
      <c r="B170" s="475" t="str">
        <v>Installation</v>
      </c>
      <c r="C170" s="472" t="str">
        <v>Dust logging device</v>
      </c>
      <c r="D170" s="472" t="str">
        <v>Green Logging device - sensitive equipment - Do Not Freeze</v>
      </c>
      <c r="E170" s="445">
        <v>48</v>
      </c>
      <c r="F170" s="445">
        <v>17</v>
      </c>
      <c r="G170" s="445">
        <v>17</v>
      </c>
      <c r="H170" s="445">
        <v>1</v>
      </c>
      <c r="I170" s="441">
        <v>8.0277777777777786</v>
      </c>
      <c r="J170" s="441">
        <v>60</v>
      </c>
      <c r="K170" s="441">
        <v>60</v>
      </c>
      <c r="L170" s="462" t="str">
        <v>actual</v>
      </c>
      <c r="M170" s="463" t="str">
        <v>DNF</v>
      </c>
      <c r="N170" s="462" t="str">
        <v xml:space="preserve"> U. Wisc. Madison</v>
      </c>
      <c r="O170" s="473">
        <v>61</v>
      </c>
      <c r="P170" s="429">
        <v>45444</v>
      </c>
      <c r="Q170" s="429" t="str">
        <v>UWM - PTH</v>
      </c>
      <c r="R170" s="429">
        <v>45505</v>
      </c>
      <c r="S170" s="457" t="str">
        <v>Truck</v>
      </c>
      <c r="T170" s="458" t="str">
        <v>PTH - CHC</v>
      </c>
      <c r="U170" s="458" t="str">
        <v>-</v>
      </c>
      <c r="V170" s="459" t="str">
        <v>ComAir</v>
      </c>
      <c r="W170" s="460" t="str">
        <v>CHC-MCM</v>
      </c>
      <c r="X170" s="460" t="str">
        <v>-</v>
      </c>
      <c r="Y170" s="88" t="str">
        <v>USAP Air</v>
      </c>
      <c r="Z170" s="426">
        <v>45597</v>
      </c>
      <c r="AA170" s="435" t="str">
        <v>-</v>
      </c>
      <c r="AB170" s="435" t="str">
        <v>LC-130</v>
      </c>
      <c r="AC170" s="435">
        <v>45621</v>
      </c>
      <c r="AD170" s="462" t="str">
        <v>Yes</v>
      </c>
      <c r="AE170" s="462" t="str">
        <v>FY25 inter</v>
      </c>
      <c r="AF170" s="462" t="str">
        <v>FY25 intra</v>
      </c>
      <c r="AG170" s="435" t="str">
        <v>D. Williams</v>
      </c>
      <c r="AH170" s="435">
        <v>44483</v>
      </c>
      <c r="AI170" s="435" t="str">
        <v>D. Tosi</v>
      </c>
      <c r="AJ170" s="435">
        <v>44458</v>
      </c>
      <c r="AK170" s="462" t="str">
        <v>Used weights from last deployment season shipment data (could be combined)</v>
      </c>
      <c r="AL170" s="451">
        <v>0</v>
      </c>
    </row>
    <row r="171" spans="1:38" ht="33.950000000000003">
      <c r="A171" s="477">
        <v>1.5</v>
      </c>
      <c r="B171" s="475" t="str">
        <v>Installation</v>
      </c>
      <c r="C171" s="472" t="str">
        <v>Dust logging device</v>
      </c>
      <c r="D171" s="472" t="str">
        <v>Electronics parts - sensitive equipment - Do Not Freeze</v>
      </c>
      <c r="E171" s="445">
        <v>26</v>
      </c>
      <c r="F171" s="445">
        <v>24</v>
      </c>
      <c r="G171" s="445">
        <v>24</v>
      </c>
      <c r="H171" s="445">
        <v>1</v>
      </c>
      <c r="I171" s="441">
        <v>8.6666666666666661</v>
      </c>
      <c r="J171" s="441">
        <v>120</v>
      </c>
      <c r="K171" s="441">
        <v>120</v>
      </c>
      <c r="L171" s="462" t="str">
        <v>actual</v>
      </c>
      <c r="M171" s="463" t="str">
        <v>DNF</v>
      </c>
      <c r="N171" s="462" t="str">
        <v xml:space="preserve"> U. Wisc. Madison</v>
      </c>
      <c r="O171" s="473">
        <v>61</v>
      </c>
      <c r="P171" s="429">
        <v>45444</v>
      </c>
      <c r="Q171" s="429" t="str">
        <v>UWM - PTH</v>
      </c>
      <c r="R171" s="429">
        <v>45505</v>
      </c>
      <c r="S171" s="457" t="str">
        <v>Truck</v>
      </c>
      <c r="T171" s="458" t="str">
        <v>PTH - CHC</v>
      </c>
      <c r="U171" s="458" t="str">
        <v>-</v>
      </c>
      <c r="V171" s="459" t="str">
        <v>ComAir</v>
      </c>
      <c r="W171" s="460" t="str">
        <v>CHC-MCM</v>
      </c>
      <c r="X171" s="460" t="str">
        <v>-</v>
      </c>
      <c r="Y171" s="88" t="str">
        <v>USAP Air</v>
      </c>
      <c r="Z171" s="426">
        <v>45597</v>
      </c>
      <c r="AA171" s="435" t="str">
        <v>-</v>
      </c>
      <c r="AB171" s="435" t="str">
        <v>LC-130</v>
      </c>
      <c r="AC171" s="435">
        <v>45621</v>
      </c>
      <c r="AD171" s="462" t="str">
        <v>Yes</v>
      </c>
      <c r="AE171" s="462" t="str">
        <v>FY25 inter</v>
      </c>
      <c r="AF171" s="462" t="str">
        <v>FY25 intra</v>
      </c>
      <c r="AG171" s="435" t="str">
        <v>D. Williams</v>
      </c>
      <c r="AH171" s="435">
        <v>44483</v>
      </c>
      <c r="AI171" s="435" t="str">
        <v>D. Tosi</v>
      </c>
      <c r="AJ171" s="435">
        <v>44459</v>
      </c>
      <c r="AK171" s="462" t="str">
        <v>Used weights from last deployment season shipment data (could be combined)</v>
      </c>
      <c r="AL171" s="451">
        <v>0</v>
      </c>
    </row>
    <row r="172" spans="1:38" ht="33.950000000000003">
      <c r="A172" s="470">
        <v>1.5</v>
      </c>
      <c r="B172" s="453" t="str">
        <v>Installation</v>
      </c>
      <c r="C172" s="471" t="str">
        <v>Dust logging device</v>
      </c>
      <c r="D172" s="471" t="str">
        <v>Electronics parts - sensitive equipment - Do Not Freeze</v>
      </c>
      <c r="E172" s="441">
        <v>26</v>
      </c>
      <c r="F172" s="441">
        <v>23</v>
      </c>
      <c r="G172" s="441">
        <v>20</v>
      </c>
      <c r="H172" s="441">
        <v>1</v>
      </c>
      <c r="I172" s="442">
        <v>6.9212962962962967</v>
      </c>
      <c r="J172" s="442">
        <v>60</v>
      </c>
      <c r="K172" s="441">
        <v>60</v>
      </c>
      <c r="L172" s="455" t="str">
        <v>actual</v>
      </c>
      <c r="M172" s="462" t="str">
        <v>DNF</v>
      </c>
      <c r="N172" s="462" t="str">
        <v xml:space="preserve"> U. Wisc. Madison</v>
      </c>
      <c r="O172" s="473">
        <v>61</v>
      </c>
      <c r="P172" s="429">
        <v>45444</v>
      </c>
      <c r="Q172" s="113" t="str">
        <v>UWM - PTH</v>
      </c>
      <c r="R172" s="429">
        <v>45505</v>
      </c>
      <c r="S172" s="457" t="str">
        <v>Truck</v>
      </c>
      <c r="T172" s="458" t="str">
        <v>PTH - CHC</v>
      </c>
      <c r="U172" s="458" t="str">
        <v>-</v>
      </c>
      <c r="V172" s="459" t="str">
        <v>ComAir</v>
      </c>
      <c r="W172" s="460" t="str">
        <v>CHC-MCM</v>
      </c>
      <c r="X172" s="460" t="str">
        <v>-</v>
      </c>
      <c r="Y172" s="461" t="str">
        <v>USAP Air</v>
      </c>
      <c r="Z172" s="426">
        <v>45597</v>
      </c>
      <c r="AA172" s="435" t="str">
        <v>-</v>
      </c>
      <c r="AB172" s="435" t="str">
        <v>LC-130</v>
      </c>
      <c r="AC172" s="435">
        <v>45621</v>
      </c>
      <c r="AD172" s="462" t="str">
        <v>Yes</v>
      </c>
      <c r="AE172" s="462" t="str">
        <v>FY25 inter</v>
      </c>
      <c r="AF172" s="463" t="str">
        <v>FY25 intra</v>
      </c>
      <c r="AG172" s="464" t="str">
        <v>D. Williams</v>
      </c>
      <c r="AH172" s="464">
        <v>44483</v>
      </c>
      <c r="AI172" s="464" t="str">
        <v>D. Tosi</v>
      </c>
      <c r="AJ172" s="435">
        <v>44460</v>
      </c>
      <c r="AK172" s="462" t="str">
        <v>Used weights from last deployment season shipment data (could be combined)</v>
      </c>
      <c r="AL172" s="451">
        <v>0</v>
      </c>
    </row>
    <row r="173" spans="1:38" ht="33.950000000000003">
      <c r="A173" s="470">
        <v>1.5</v>
      </c>
      <c r="B173" s="453" t="str">
        <v>Installation</v>
      </c>
      <c r="C173" s="471" t="str">
        <v>Logging winch</v>
      </c>
      <c r="D173" s="471" t="str">
        <v xml:space="preserve">Winch to be used for Dust Logging </v>
      </c>
      <c r="E173" s="441">
        <v>86</v>
      </c>
      <c r="F173" s="441">
        <v>60</v>
      </c>
      <c r="G173" s="441">
        <v>68</v>
      </c>
      <c r="H173" s="441">
        <v>1</v>
      </c>
      <c r="I173" s="442">
        <v>203.05555555555554</v>
      </c>
      <c r="J173" s="442">
        <v>3500</v>
      </c>
      <c r="K173" s="441">
        <v>3500</v>
      </c>
      <c r="L173" s="455" t="str">
        <v>preliminary</v>
      </c>
      <c r="M173" s="462">
        <v>0</v>
      </c>
      <c r="N173" s="462" t="str">
        <v xml:space="preserve"> U. Wisc. Madison</v>
      </c>
      <c r="O173" s="473">
        <v>61</v>
      </c>
      <c r="P173" s="429">
        <v>45444</v>
      </c>
      <c r="Q173" s="113" t="str">
        <v>UWM - PTH</v>
      </c>
      <c r="R173" s="429">
        <v>45505</v>
      </c>
      <c r="S173" s="457" t="str">
        <v>Truck</v>
      </c>
      <c r="T173" s="458" t="str">
        <v>PTH - CHC</v>
      </c>
      <c r="U173" s="458" t="str">
        <v>-</v>
      </c>
      <c r="V173" s="459" t="str">
        <v>ComAir</v>
      </c>
      <c r="W173" s="460" t="str">
        <v>CHC-MCM</v>
      </c>
      <c r="X173" s="460" t="str">
        <v>-</v>
      </c>
      <c r="Y173" s="461" t="str">
        <v>USAP Air</v>
      </c>
      <c r="Z173" s="426">
        <v>45597</v>
      </c>
      <c r="AA173" s="435" t="str">
        <v>-</v>
      </c>
      <c r="AB173" s="435" t="str">
        <v>LC-130</v>
      </c>
      <c r="AC173" s="435">
        <v>45621</v>
      </c>
      <c r="AD173" s="462" t="str">
        <v>Yes</v>
      </c>
      <c r="AE173" s="462" t="str">
        <v>FY25 inter</v>
      </c>
      <c r="AF173" s="463" t="str">
        <v>FY25 intra</v>
      </c>
      <c r="AG173" s="464" t="str">
        <v>D. Tosi</v>
      </c>
      <c r="AH173" s="464">
        <v>44477</v>
      </c>
      <c r="AI173" s="464" t="str">
        <v>I. McEwen</v>
      </c>
      <c r="AJ173" s="435">
        <v>44477</v>
      </c>
      <c r="AK173" s="462" t="str">
        <v>Used weights and cubes of IDP deep logging winch. Send back end of season</v>
      </c>
      <c r="AL173" s="451">
        <v>0</v>
      </c>
    </row>
    <row r="174" spans="1:38" ht="33.950000000000003">
      <c r="A174" s="470">
        <v>1.5</v>
      </c>
      <c r="B174" s="453" t="str">
        <v>Installation</v>
      </c>
      <c r="C174" s="454" t="str">
        <v>Logging winch control box</v>
      </c>
      <c r="D174" s="471" t="str">
        <v>Control Box for winch for Dust Logging  - sensitive equipment - Do Not Freeze</v>
      </c>
      <c r="E174" s="441">
        <v>48</v>
      </c>
      <c r="F174" s="441">
        <v>48</v>
      </c>
      <c r="G174" s="441">
        <v>36</v>
      </c>
      <c r="H174" s="441">
        <v>1</v>
      </c>
      <c r="I174" s="442">
        <v>48</v>
      </c>
      <c r="J174" s="442">
        <v>400</v>
      </c>
      <c r="K174" s="441">
        <v>400</v>
      </c>
      <c r="L174" s="455" t="str">
        <v>preliminary</v>
      </c>
      <c r="M174" s="462" t="str">
        <v>DNF</v>
      </c>
      <c r="N174" s="462" t="str">
        <v xml:space="preserve"> U. Wisc. Madison</v>
      </c>
      <c r="O174" s="473">
        <v>61</v>
      </c>
      <c r="P174" s="429">
        <v>45444</v>
      </c>
      <c r="Q174" s="113" t="str">
        <v>UWM - PTH</v>
      </c>
      <c r="R174" s="429">
        <v>45505</v>
      </c>
      <c r="S174" s="457" t="str">
        <v>Truck</v>
      </c>
      <c r="T174" s="458" t="str">
        <v>PTH - CHC</v>
      </c>
      <c r="U174" s="458" t="str">
        <v>-</v>
      </c>
      <c r="V174" s="459" t="str">
        <v>ComAir</v>
      </c>
      <c r="W174" s="460" t="str">
        <v>CHC-MCM</v>
      </c>
      <c r="X174" s="460" t="str">
        <v>-</v>
      </c>
      <c r="Y174" s="461" t="str">
        <v>USAP Air</v>
      </c>
      <c r="Z174" s="426">
        <v>45597</v>
      </c>
      <c r="AA174" s="435" t="str">
        <v>-</v>
      </c>
      <c r="AB174" s="435" t="str">
        <v>LC-130</v>
      </c>
      <c r="AC174" s="435">
        <v>45621</v>
      </c>
      <c r="AD174" s="462" t="str">
        <v>Yes</v>
      </c>
      <c r="AE174" s="462" t="str">
        <v>FY25 inter</v>
      </c>
      <c r="AF174" s="463" t="str">
        <v>FY25 intra</v>
      </c>
      <c r="AG174" s="464" t="str">
        <v>D. Tosi</v>
      </c>
      <c r="AH174" s="464">
        <v>44477</v>
      </c>
      <c r="AI174" s="464" t="str">
        <v>I. McEwen</v>
      </c>
      <c r="AJ174" s="435">
        <v>44477</v>
      </c>
      <c r="AK174" s="462" t="str">
        <v>Used weights and cubes of IDP deep logging winch. Send back end of season</v>
      </c>
      <c r="AL174" s="451">
        <v>0</v>
      </c>
    </row>
    <row r="175" spans="1:38" ht="51">
      <c r="A175" s="470">
        <v>1.4</v>
      </c>
      <c r="B175" s="453" t="str">
        <v>Installation</v>
      </c>
      <c r="C175" s="454" t="str">
        <v>Breakout cables for strings 89-93</v>
      </c>
      <c r="D175" s="471" t="str">
        <v>Stored in McMurdo FY24. 5 wooden crates containing spooled breakout cable assemblies - 96 cf/ 1,000 lbs each (preliminary) -  Do Not Deep Freeze</v>
      </c>
      <c r="E175" s="441">
        <v>72</v>
      </c>
      <c r="F175" s="441">
        <v>48</v>
      </c>
      <c r="G175" s="441">
        <v>48</v>
      </c>
      <c r="H175" s="441">
        <v>5</v>
      </c>
      <c r="I175" s="442">
        <v>480</v>
      </c>
      <c r="J175" s="442">
        <v>1000</v>
      </c>
      <c r="K175" s="441">
        <v>5000</v>
      </c>
      <c r="L175" s="455" t="str">
        <v>estimated</v>
      </c>
      <c r="M175" s="462" t="str">
        <v>DNDF[-40C](*)</v>
      </c>
      <c r="N175" s="462" t="str">
        <v>MSU</v>
      </c>
      <c r="O175" s="473">
        <v>24</v>
      </c>
      <c r="P175" s="429">
        <v>45068</v>
      </c>
      <c r="Q175" s="113" t="str">
        <v>MSU - PTH</v>
      </c>
      <c r="R175" s="429">
        <v>45092</v>
      </c>
      <c r="S175" s="457" t="str">
        <v>Truck</v>
      </c>
      <c r="T175" s="458" t="str">
        <v>PTH - MCM</v>
      </c>
      <c r="U175" s="458" t="str">
        <v>-</v>
      </c>
      <c r="V175" s="459" t="str">
        <v>USAP Vessel</v>
      </c>
      <c r="W175" s="460" t="str">
        <v>USAP Vessel</v>
      </c>
      <c r="X175" s="460" t="str">
        <v>-</v>
      </c>
      <c r="Y175" s="461" t="str">
        <v>-</v>
      </c>
      <c r="Z175" s="426">
        <v>45328</v>
      </c>
      <c r="AA175" s="435" t="str">
        <v>-</v>
      </c>
      <c r="AB175" s="435" t="str">
        <v>LC-130/SPoT</v>
      </c>
      <c r="AC175" s="435">
        <v>45621</v>
      </c>
      <c r="AD175" s="462" t="str">
        <v>Yes</v>
      </c>
      <c r="AE175" s="462" t="str">
        <v>FY24 inter</v>
      </c>
      <c r="AF175" s="463" t="str">
        <v>FY25 intra</v>
      </c>
      <c r="AG175" s="464" t="str">
        <v>T. DeYoung</v>
      </c>
      <c r="AH175" s="464">
        <v>44459</v>
      </c>
      <c r="AI175" s="464" t="str">
        <v>D. Tosi</v>
      </c>
      <c r="AJ175" s="435">
        <v>44459</v>
      </c>
      <c r="AK175" s="462" t="str">
        <v xml:space="preserve">Float in PTH due to storage limitation in MSU.
(*) storage in McMurdo pending low temperature test  </v>
      </c>
      <c r="AL175" s="451">
        <v>0</v>
      </c>
    </row>
    <row r="176" spans="1:38" ht="33.950000000000003">
      <c r="A176" s="478">
        <v>1.4</v>
      </c>
      <c r="B176" s="479" t="str">
        <v>Installation</v>
      </c>
      <c r="C176" s="480" t="str">
        <v>Main (downhole) load members 87-93</v>
      </c>
      <c r="D176" s="481" t="str">
        <v>May be possible to store in McMurdo until drill season - Do Not Deep Freeze</v>
      </c>
      <c r="E176" s="482">
        <v>47</v>
      </c>
      <c r="F176" s="482">
        <v>47</v>
      </c>
      <c r="G176" s="482">
        <v>39</v>
      </c>
      <c r="H176" s="445">
        <v>7</v>
      </c>
      <c r="I176" s="442">
        <v>348.99131944444446</v>
      </c>
      <c r="J176" s="442">
        <v>766</v>
      </c>
      <c r="K176" s="441">
        <v>5362</v>
      </c>
      <c r="L176" s="483" t="str">
        <v>preliminary</v>
      </c>
      <c r="M176" s="484" t="str">
        <v>DNDF[-40C](*)</v>
      </c>
      <c r="N176" s="462" t="str">
        <v>MSU</v>
      </c>
      <c r="O176" s="473">
        <v>14</v>
      </c>
      <c r="P176" s="429">
        <v>45017</v>
      </c>
      <c r="Q176" s="429" t="str">
        <v>MSU - PTH</v>
      </c>
      <c r="R176" s="429">
        <v>45031</v>
      </c>
      <c r="S176" s="457" t="str">
        <v>Truck</v>
      </c>
      <c r="T176" s="458" t="str">
        <v>PTH - MCM</v>
      </c>
      <c r="U176" s="458" t="str">
        <v>-</v>
      </c>
      <c r="V176" s="459" t="str">
        <v>USAP Vessel</v>
      </c>
      <c r="W176" s="460" t="str">
        <v>USAP Vessel</v>
      </c>
      <c r="X176" s="460" t="str">
        <v>-</v>
      </c>
      <c r="Y176" s="435" t="str">
        <v>-</v>
      </c>
      <c r="Z176" s="426">
        <v>45328</v>
      </c>
      <c r="AA176" s="435" t="str">
        <v>-</v>
      </c>
      <c r="AB176" s="435" t="str">
        <v>LC-130/SPoT</v>
      </c>
      <c r="AC176" s="435">
        <v>45627</v>
      </c>
      <c r="AD176" s="462" t="str">
        <v>Yes</v>
      </c>
      <c r="AE176" s="462" t="str">
        <v>FY24 inter</v>
      </c>
      <c r="AF176" s="462" t="str">
        <v>FY25 intra</v>
      </c>
      <c r="AG176" s="435" t="str">
        <v>T. DeYoung</v>
      </c>
      <c r="AH176" s="435">
        <v>44459</v>
      </c>
      <c r="AI176" s="435" t="str">
        <v>D. Tosi</v>
      </c>
      <c r="AJ176" s="435">
        <v>44480</v>
      </c>
      <c r="AK176" s="462" t="str">
        <v>Shipping date synched with main (downhole) cables due to storage limitation in MSU. Float in PTH.</v>
      </c>
      <c r="AL176" s="451">
        <v>0</v>
      </c>
    </row>
    <row r="177" spans="1:38" ht="51">
      <c r="A177" s="478">
        <v>1.4</v>
      </c>
      <c r="B177" s="479" t="str">
        <v>Installation</v>
      </c>
      <c r="C177" s="480" t="str">
        <v>Main (downhole) cables 87-93</v>
      </c>
      <c r="D177" s="465" t="str">
        <v>May be possible to store in McMurdo until drill season - Do Not Deep Freeze</v>
      </c>
      <c r="E177" s="482">
        <v>96</v>
      </c>
      <c r="F177" s="482">
        <v>96</v>
      </c>
      <c r="G177" s="482">
        <v>96</v>
      </c>
      <c r="H177" s="445">
        <v>7</v>
      </c>
      <c r="I177" s="442">
        <v>3584</v>
      </c>
      <c r="J177" s="442">
        <v>15000</v>
      </c>
      <c r="K177" s="441">
        <v>105000</v>
      </c>
      <c r="L177" s="483" t="str">
        <v>preliminary</v>
      </c>
      <c r="M177" s="484" t="str">
        <v>DNDF[-40C](*)</v>
      </c>
      <c r="N177" s="462" t="str">
        <v>MSU</v>
      </c>
      <c r="O177" s="473">
        <v>14</v>
      </c>
      <c r="P177" s="429">
        <v>45017</v>
      </c>
      <c r="Q177" s="429" t="str">
        <v>MSU - PTH</v>
      </c>
      <c r="R177" s="429">
        <v>45031</v>
      </c>
      <c r="S177" s="457" t="str">
        <v>Truck</v>
      </c>
      <c r="T177" s="458" t="str">
        <v>PTH - MCM</v>
      </c>
      <c r="U177" s="458" t="str">
        <v>-</v>
      </c>
      <c r="V177" s="459" t="str">
        <v>USAP Vessel</v>
      </c>
      <c r="W177" s="460" t="str">
        <v>USAP Vessel</v>
      </c>
      <c r="X177" s="460" t="str">
        <v>-</v>
      </c>
      <c r="Y177" s="435" t="str">
        <v>-</v>
      </c>
      <c r="Z177" s="426">
        <v>45328</v>
      </c>
      <c r="AA177" s="435" t="str">
        <v>-</v>
      </c>
      <c r="AB177" s="435" t="str">
        <v>LC-130/SPoT</v>
      </c>
      <c r="AC177" s="435">
        <v>45627</v>
      </c>
      <c r="AD177" s="462" t="str">
        <v>Yes</v>
      </c>
      <c r="AE177" s="462" t="str">
        <v>FY24 inter</v>
      </c>
      <c r="AF177" s="462" t="str">
        <v>FY25 intra</v>
      </c>
      <c r="AG177" s="435" t="str">
        <v>T. DeYoung</v>
      </c>
      <c r="AH177" s="435">
        <v>44459</v>
      </c>
      <c r="AI177" s="435" t="str">
        <v>D. Tosi</v>
      </c>
      <c r="AJ177" s="435">
        <v>44480</v>
      </c>
      <c r="AK177" s="462" t="str">
        <v>Shipping date chosen to be 2 weeks after scheduled ready to ship date because of storage limitations at MSU. additional 7 months of float at Port Hueneme assuming USAP vessel departure.  (*) storage in McMurdo pending low temperature test.</v>
      </c>
      <c r="AL177" s="451">
        <v>0</v>
      </c>
    </row>
    <row r="178" spans="1:38" ht="51">
      <c r="A178" s="470">
        <v>1.3</v>
      </c>
      <c r="B178" s="453" t="str">
        <v>Installation</v>
      </c>
      <c r="C178" s="471" t="str">
        <v>String Sensors 89-93</v>
      </c>
      <c r="D178" s="471" t="str">
        <v>Optical Sensors for 5 strings from MSU (mDOMs) - Do Not Deep Freeze</v>
      </c>
      <c r="E178" s="441">
        <v>40</v>
      </c>
      <c r="F178" s="441">
        <v>48</v>
      </c>
      <c r="G178" s="441">
        <v>46</v>
      </c>
      <c r="H178" s="441">
        <v>25</v>
      </c>
      <c r="I178" s="442">
        <v>1277.7777777777778</v>
      </c>
      <c r="J178" s="442">
        <v>573</v>
      </c>
      <c r="K178" s="441">
        <v>14325</v>
      </c>
      <c r="L178" s="462" t="str">
        <v>actual(**)</v>
      </c>
      <c r="M178" s="462" t="str">
        <v>DNDF [-40C]</v>
      </c>
      <c r="N178" s="462" t="str">
        <v>MSU</v>
      </c>
      <c r="O178" s="473">
        <v>366</v>
      </c>
      <c r="P178" s="429">
        <v>45139</v>
      </c>
      <c r="Q178" s="429" t="str">
        <v>MSU - PTH</v>
      </c>
      <c r="R178" s="429">
        <v>45505</v>
      </c>
      <c r="S178" s="457" t="str">
        <v>Truck</v>
      </c>
      <c r="T178" s="458" t="str">
        <v>PTH - CHC</v>
      </c>
      <c r="U178" s="458" t="str">
        <v>-</v>
      </c>
      <c r="V178" s="459" t="str">
        <v>ComSur</v>
      </c>
      <c r="W178" s="460" t="str">
        <v>CHC - MCM</v>
      </c>
      <c r="X178" s="460" t="str">
        <v>-</v>
      </c>
      <c r="Y178" s="461" t="str">
        <v>USAP Air</v>
      </c>
      <c r="Z178" s="426">
        <v>45597</v>
      </c>
      <c r="AA178" s="435" t="str">
        <v>-</v>
      </c>
      <c r="AB178" s="435" t="str">
        <v>LC-130</v>
      </c>
      <c r="AC178" s="435">
        <v>45621</v>
      </c>
      <c r="AD178" s="462" t="str">
        <v>Yes</v>
      </c>
      <c r="AE178" s="462" t="str">
        <v>FY25 inter</v>
      </c>
      <c r="AF178" s="462" t="str">
        <v>FY25 intra</v>
      </c>
      <c r="AG178" s="435" t="str">
        <v>T. Karg</v>
      </c>
      <c r="AH178" s="435">
        <v>44459</v>
      </c>
      <c r="AI178" s="435" t="str">
        <v>D. Tosi</v>
      </c>
      <c r="AJ178" s="435">
        <v>44461</v>
      </c>
      <c r="AK178" s="462" t="str">
        <v>mDOM weight is 28 kg/boxed + 35kg pallet, assume 8 mDOMs/pallet (189 to be deployed + 11 spares)(*)Assumed to be shipped in 2x20' HC  (5115 lbs, 238inx96inx114in) or a 40 ft HC, purchased by MSU or loaned in PTH (container weight not included)</v>
      </c>
      <c r="AL178" s="451">
        <v>0</v>
      </c>
    </row>
    <row r="179" spans="1:38" ht="51">
      <c r="A179" s="477">
        <v>1.3</v>
      </c>
      <c r="B179" s="475" t="str">
        <v>Installation</v>
      </c>
      <c r="C179" s="472" t="str">
        <v>String Sensors 89-93</v>
      </c>
      <c r="D179" s="472" t="str">
        <v>Optical Sensors for 5 strings from MSU (mDOMs) containers (TBD) - Do Not Deep Freeze</v>
      </c>
      <c r="E179" s="441">
        <v>238</v>
      </c>
      <c r="F179" s="441">
        <v>96</v>
      </c>
      <c r="G179" s="441">
        <v>114</v>
      </c>
      <c r="H179" s="445">
        <v>0</v>
      </c>
      <c r="I179" s="442">
        <v>0</v>
      </c>
      <c r="J179" s="442">
        <v>5115</v>
      </c>
      <c r="K179" s="441">
        <v>0</v>
      </c>
      <c r="L179" s="485" t="str">
        <v>actual(**)</v>
      </c>
      <c r="M179" s="463" t="str">
        <v>DNDF [-40C]</v>
      </c>
      <c r="N179" s="462" t="str">
        <v>MSU</v>
      </c>
      <c r="O179" s="473">
        <v>366</v>
      </c>
      <c r="P179" s="429">
        <v>45139</v>
      </c>
      <c r="Q179" s="429" t="str">
        <v>MSU - PTH</v>
      </c>
      <c r="R179" s="429">
        <v>45505</v>
      </c>
      <c r="S179" s="457" t="str">
        <v>Truck</v>
      </c>
      <c r="T179" s="458" t="str">
        <v>PTH - CHC</v>
      </c>
      <c r="U179" s="458" t="str">
        <v>-</v>
      </c>
      <c r="V179" s="459" t="str">
        <v>ComSur</v>
      </c>
      <c r="W179" s="460" t="str">
        <v>CHC - MCM</v>
      </c>
      <c r="X179" s="460" t="str">
        <v>-</v>
      </c>
      <c r="Y179" s="435" t="str">
        <v>USAP Air</v>
      </c>
      <c r="Z179" s="426">
        <v>45597</v>
      </c>
      <c r="AA179" s="435" t="str">
        <v>-</v>
      </c>
      <c r="AB179" s="435" t="str">
        <v>LC-130</v>
      </c>
      <c r="AC179" s="435">
        <v>45621</v>
      </c>
      <c r="AD179" s="462" t="str">
        <v>Yes</v>
      </c>
      <c r="AE179" s="462" t="str">
        <v>FY25 inter</v>
      </c>
      <c r="AF179" s="462" t="str">
        <v>FY25 intra</v>
      </c>
      <c r="AG179" s="435" t="str">
        <v>T. Karg</v>
      </c>
      <c r="AH179" s="435">
        <v>44459</v>
      </c>
      <c r="AI179" s="435" t="str">
        <v>D. Tosi</v>
      </c>
      <c r="AJ179" s="435">
        <v>44461</v>
      </c>
      <c r="AK179" s="462" t="str">
        <v>Assume 2x20HC containers for transport on COMSUR (TBC). Pallets could be loaded to 53 ft truck and loaded into a loaned container in PTH but this would increase touch points (and risk)</v>
      </c>
      <c r="AL179" s="451">
        <v>0</v>
      </c>
    </row>
    <row r="180" spans="1:38" ht="33.950000000000003">
      <c r="A180" s="477">
        <v>1.3</v>
      </c>
      <c r="B180" s="475" t="str">
        <v>Installation</v>
      </c>
      <c r="C180" s="472" t="str">
        <v>DM-Ice</v>
      </c>
      <c r="D180" s="472" t="str">
        <v>DM-ice (two modules for string 89 and 90) - Do Not Deep Freeze</v>
      </c>
      <c r="E180" s="441">
        <v>48</v>
      </c>
      <c r="F180" s="441">
        <v>48</v>
      </c>
      <c r="G180" s="441">
        <v>48</v>
      </c>
      <c r="H180" s="445">
        <v>1</v>
      </c>
      <c r="I180" s="442">
        <v>64</v>
      </c>
      <c r="J180" s="442">
        <v>1500</v>
      </c>
      <c r="K180" s="441">
        <v>1500</v>
      </c>
      <c r="L180" s="485" t="str">
        <v>estimated</v>
      </c>
      <c r="M180" s="463" t="str">
        <v>DNDF [-40C]</v>
      </c>
      <c r="N180" s="462" t="str">
        <v>Yale</v>
      </c>
      <c r="O180" s="473">
        <v>61</v>
      </c>
      <c r="P180" s="429">
        <v>45444</v>
      </c>
      <c r="Q180" s="429" t="str">
        <v>Yale - PTH</v>
      </c>
      <c r="R180" s="429">
        <v>45505</v>
      </c>
      <c r="S180" s="457" t="str">
        <v>Truck</v>
      </c>
      <c r="T180" s="458" t="str">
        <v>PTH - CHC</v>
      </c>
      <c r="U180" s="458" t="str">
        <v>-</v>
      </c>
      <c r="V180" s="459" t="str">
        <v>ComSur</v>
      </c>
      <c r="W180" s="460" t="str">
        <v>CHC - MCM</v>
      </c>
      <c r="X180" s="460" t="str">
        <v>-</v>
      </c>
      <c r="Y180" s="435" t="str">
        <v>USAP Air</v>
      </c>
      <c r="Z180" s="426">
        <v>45597</v>
      </c>
      <c r="AA180" s="435" t="str">
        <v>-</v>
      </c>
      <c r="AB180" s="435" t="str">
        <v>LC-130</v>
      </c>
      <c r="AC180" s="435">
        <v>45621</v>
      </c>
      <c r="AD180" s="462" t="str">
        <v>Yes</v>
      </c>
      <c r="AE180" s="462" t="str">
        <v>FY25 inter</v>
      </c>
      <c r="AF180" s="462" t="str">
        <v>FY25 intra</v>
      </c>
      <c r="AG180" s="435" t="str">
        <v>M. Kauer</v>
      </c>
      <c r="AH180" s="435">
        <v>44459</v>
      </c>
      <c r="AI180" s="435" t="str">
        <v>D. Tosi</v>
      </c>
      <c r="AJ180" s="435">
        <v>44459</v>
      </c>
      <c r="AK180" s="462">
        <v>0</v>
      </c>
      <c r="AL180" s="451">
        <v>0</v>
      </c>
    </row>
    <row r="181" spans="1:38" ht="33.950000000000003">
      <c r="A181" s="477">
        <v>1.3</v>
      </c>
      <c r="B181" s="475" t="str">
        <v>Installation</v>
      </c>
      <c r="C181" s="472" t="str">
        <v>String Sensors 89-93</v>
      </c>
      <c r="D181" s="472" t="str">
        <v>Optical sensors for 5 strings from Germany (mDOMs) - Do Not Deep Freeze</v>
      </c>
      <c r="E181" s="445">
        <v>40</v>
      </c>
      <c r="F181" s="445">
        <v>48</v>
      </c>
      <c r="G181" s="445">
        <v>46</v>
      </c>
      <c r="H181" s="445">
        <v>12</v>
      </c>
      <c r="I181" s="442">
        <v>613.33333333333337</v>
      </c>
      <c r="J181" s="442">
        <v>573</v>
      </c>
      <c r="K181" s="441">
        <v>6876</v>
      </c>
      <c r="L181" s="485" t="str">
        <v>actual(**)</v>
      </c>
      <c r="M181" s="463" t="str">
        <v>DNDF [-40C]</v>
      </c>
      <c r="N181" s="462" t="str">
        <v>DESY</v>
      </c>
      <c r="O181" s="473">
        <v>397</v>
      </c>
      <c r="P181" s="429">
        <v>45108</v>
      </c>
      <c r="Q181" s="429" t="str">
        <v>DESY - CHC</v>
      </c>
      <c r="R181" s="429">
        <v>45505</v>
      </c>
      <c r="S181" s="457" t="str">
        <v>ComSur</v>
      </c>
      <c r="T181" s="458" t="str">
        <v>DESY-CHC</v>
      </c>
      <c r="U181" s="458" t="str">
        <v>-</v>
      </c>
      <c r="V181" s="459" t="str">
        <v>ComSur</v>
      </c>
      <c r="W181" s="460" t="str">
        <v>CHC - MCM</v>
      </c>
      <c r="X181" s="460" t="str">
        <v>-</v>
      </c>
      <c r="Y181" s="426" t="str">
        <v>USAP  Air</v>
      </c>
      <c r="Z181" s="426">
        <v>45597</v>
      </c>
      <c r="AA181" s="435" t="str">
        <v>-</v>
      </c>
      <c r="AB181" s="435" t="str">
        <v>LC-130</v>
      </c>
      <c r="AC181" s="435">
        <v>45621</v>
      </c>
      <c r="AD181" s="462" t="str">
        <v>Yes</v>
      </c>
      <c r="AE181" s="462" t="str">
        <v>FY25 inter</v>
      </c>
      <c r="AF181" s="463" t="str">
        <v>FY25 intra</v>
      </c>
      <c r="AG181" s="435" t="str">
        <v>T. Karg</v>
      </c>
      <c r="AH181" s="464">
        <v>44459</v>
      </c>
      <c r="AI181" s="464" t="str">
        <v>D. Tosi</v>
      </c>
      <c r="AJ181" s="435">
        <v>44461</v>
      </c>
      <c r="AK181" s="463" t="str">
        <v>mDOM weight is (28kg/sensor boxed) + 35kg pallet, assume 8 mDOMs/pallet - 190 to be deployed + 10 spares. (**) shipped in 20 HC container. Container not included in weight as pallets will be taken out.</v>
      </c>
      <c r="AL181" s="451">
        <v>0</v>
      </c>
    </row>
    <row r="182" spans="1:38" ht="51">
      <c r="A182" s="477">
        <v>1.3</v>
      </c>
      <c r="B182" s="475" t="str">
        <v>Installation</v>
      </c>
      <c r="C182" s="465" t="str">
        <v>Special Devices 89-93</v>
      </c>
      <c r="D182" s="472" t="str">
        <v>Special devices for 5 remaining strings from DESY/Germany/Sweden (6 WOMs,  3 Abalone Hubs or WOM Traps)  no spares - Do Not Deep Freeze</v>
      </c>
      <c r="E182" s="445">
        <v>32</v>
      </c>
      <c r="F182" s="445">
        <v>31</v>
      </c>
      <c r="G182" s="445">
        <v>89</v>
      </c>
      <c r="H182" s="445">
        <v>1</v>
      </c>
      <c r="I182" s="442">
        <v>51.092592592592595</v>
      </c>
      <c r="J182" s="442">
        <v>1035</v>
      </c>
      <c r="K182" s="441">
        <v>1035</v>
      </c>
      <c r="L182" s="485" t="str">
        <v>preliminary</v>
      </c>
      <c r="M182" s="463" t="str">
        <v>DNDF [-40C]</v>
      </c>
      <c r="N182" s="462" t="str">
        <v>Mainz</v>
      </c>
      <c r="O182" s="473">
        <v>213</v>
      </c>
      <c r="P182" s="429">
        <v>45292</v>
      </c>
      <c r="Q182" s="429" t="str">
        <v>DESY - CHC</v>
      </c>
      <c r="R182" s="429">
        <v>45505</v>
      </c>
      <c r="S182" s="457" t="str">
        <v>ComSur</v>
      </c>
      <c r="T182" s="458" t="str">
        <v>DESY-CHC</v>
      </c>
      <c r="U182" s="458" t="str">
        <v>-</v>
      </c>
      <c r="V182" s="459" t="str">
        <v>ComSur</v>
      </c>
      <c r="W182" s="460" t="str">
        <v>CHC - MCM</v>
      </c>
      <c r="X182" s="460" t="str">
        <v>-</v>
      </c>
      <c r="Y182" s="426" t="str">
        <v>USAP  Air</v>
      </c>
      <c r="Z182" s="426">
        <v>45597</v>
      </c>
      <c r="AA182" s="435" t="str">
        <v>-</v>
      </c>
      <c r="AB182" s="435" t="str">
        <v>LC-130</v>
      </c>
      <c r="AC182" s="435">
        <v>45621</v>
      </c>
      <c r="AD182" s="462" t="str">
        <v>Yes</v>
      </c>
      <c r="AE182" s="462" t="str">
        <v>FY25 inter</v>
      </c>
      <c r="AF182" s="462" t="str">
        <v>FY25 intra</v>
      </c>
      <c r="AG182" s="435" t="str">
        <v>S. Boeser</v>
      </c>
      <c r="AH182" s="435">
        <v>44482</v>
      </c>
      <c r="AI182" s="435" t="str">
        <v>D. Tosi</v>
      </c>
      <c r="AJ182" s="435">
        <v>44482</v>
      </c>
      <c r="AK182" s="462" t="str">
        <v>6 Special Devices from Germany 6 (WOM + 0 AH) including 0 spare for each. Assume 170 lbs crate.</v>
      </c>
      <c r="AL182" s="451">
        <v>0</v>
      </c>
    </row>
    <row r="183" spans="1:38" ht="51">
      <c r="A183" s="477">
        <v>1.5</v>
      </c>
      <c r="B183" s="475" t="str">
        <v>Installation</v>
      </c>
      <c r="C183" s="472" t="str">
        <v>Calibration Devices 89-93</v>
      </c>
      <c r="D183" s="472" t="str">
        <v>Calibration for 5 strings from DESY/Germany/Sweden (17+2 POCAMs, 7+ 1 Acoustic sensors,  3+ 1 Swedish Cameras) including spares - Do Not Deep Freeze</v>
      </c>
      <c r="E183" s="445">
        <v>62</v>
      </c>
      <c r="F183" s="445">
        <v>48</v>
      </c>
      <c r="G183" s="445">
        <v>44</v>
      </c>
      <c r="H183" s="445">
        <v>1</v>
      </c>
      <c r="I183" s="442">
        <v>75.777777777777771</v>
      </c>
      <c r="J183" s="442">
        <v>1694</v>
      </c>
      <c r="K183" s="441">
        <v>1694</v>
      </c>
      <c r="L183" s="485" t="str">
        <v>preliminary</v>
      </c>
      <c r="M183" s="463" t="str">
        <v>DNDF [-40C]</v>
      </c>
      <c r="N183" s="462" t="str">
        <v>TUM/Aachen/Sweden</v>
      </c>
      <c r="O183" s="473">
        <v>792</v>
      </c>
      <c r="P183" s="429">
        <v>44713</v>
      </c>
      <c r="Q183" s="429" t="str">
        <v>DESY - CHC</v>
      </c>
      <c r="R183" s="429">
        <v>45505</v>
      </c>
      <c r="S183" s="457" t="str">
        <v>ComSur</v>
      </c>
      <c r="T183" s="458" t="str">
        <v>DESY-CHC</v>
      </c>
      <c r="U183" s="458" t="str">
        <v>-</v>
      </c>
      <c r="V183" s="459" t="str">
        <v>ComSur</v>
      </c>
      <c r="W183" s="460" t="str">
        <v>CHC-MCM</v>
      </c>
      <c r="X183" s="460" t="str">
        <v>-</v>
      </c>
      <c r="Y183" s="426" t="str">
        <v>USAP  Air</v>
      </c>
      <c r="Z183" s="426">
        <v>45597</v>
      </c>
      <c r="AA183" s="435" t="str">
        <v>-</v>
      </c>
      <c r="AB183" s="435" t="str">
        <v>LC-130</v>
      </c>
      <c r="AC183" s="435">
        <v>45621</v>
      </c>
      <c r="AD183" s="462" t="str">
        <v>Yes</v>
      </c>
      <c r="AE183" s="462" t="str">
        <v>FY25 inter</v>
      </c>
      <c r="AF183" s="462" t="str">
        <v>FY25 intra</v>
      </c>
      <c r="AG183" s="435" t="str">
        <v>D. Williams</v>
      </c>
      <c r="AH183" s="435">
        <v>44482</v>
      </c>
      <c r="AI183" s="435" t="str">
        <v>D. Tosi</v>
      </c>
      <c r="AJ183" s="435">
        <v>44482</v>
      </c>
      <c r="AK183" s="462" t="str">
        <v>Calibration devices for strings 89-93 = 3+1 Sweden Camera,7+1 + Acoustic Module,17 +1 POCAM, including spares, 200 lbs crate</v>
      </c>
      <c r="AL183" s="451">
        <v>0</v>
      </c>
    </row>
    <row r="184" spans="1:38" ht="33.950000000000003">
      <c r="A184" s="477">
        <v>1.3</v>
      </c>
      <c r="B184" s="475" t="str">
        <v>Installation</v>
      </c>
      <c r="C184" s="472" t="str">
        <v>String Sensors 89-93</v>
      </c>
      <c r="D184" s="472" t="str">
        <v>Sensors (D-Eggs) pallets with 8 sensors in McMurdo overwinter - Do Not Deep Freeze</v>
      </c>
      <c r="E184" s="441">
        <v>41</v>
      </c>
      <c r="F184" s="441">
        <v>41</v>
      </c>
      <c r="G184" s="441">
        <v>69</v>
      </c>
      <c r="H184" s="445">
        <v>10</v>
      </c>
      <c r="I184" s="442">
        <v>671.23263888888891</v>
      </c>
      <c r="J184" s="442">
        <v>750</v>
      </c>
      <c r="K184" s="441">
        <v>7500</v>
      </c>
      <c r="L184" s="485" t="str">
        <v>actual</v>
      </c>
      <c r="M184" s="463" t="str">
        <v>DNDF [-40C]</v>
      </c>
      <c r="N184" s="462" t="str">
        <v>Chiba</v>
      </c>
      <c r="O184" s="473">
        <v>61</v>
      </c>
      <c r="P184" s="429">
        <v>45078</v>
      </c>
      <c r="Q184" s="429" t="str">
        <v>ChibaU - CHC</v>
      </c>
      <c r="R184" s="429">
        <v>45139</v>
      </c>
      <c r="S184" s="457" t="str">
        <v>Cargo shipment by CHU</v>
      </c>
      <c r="T184" s="458" t="str">
        <v>ChibaU - CHC</v>
      </c>
      <c r="U184" s="458" t="str">
        <v>-</v>
      </c>
      <c r="V184" s="459" t="str">
        <v>ComSur</v>
      </c>
      <c r="W184" s="460" t="str">
        <v>CHC - MCM</v>
      </c>
      <c r="X184" s="460" t="str">
        <v>-</v>
      </c>
      <c r="Y184" s="435" t="str">
        <v>USAP Air</v>
      </c>
      <c r="Z184" s="426">
        <v>45597</v>
      </c>
      <c r="AA184" s="435" t="str">
        <v>-</v>
      </c>
      <c r="AB184" s="435" t="str">
        <v>LC-130</v>
      </c>
      <c r="AC184" s="435">
        <v>45621</v>
      </c>
      <c r="AD184" s="462" t="str">
        <v>Yes</v>
      </c>
      <c r="AE184" s="462" t="str">
        <v>FY25 inter</v>
      </c>
      <c r="AF184" s="462" t="str">
        <v>FY25 intra</v>
      </c>
      <c r="AG184" s="435" t="str">
        <v>S. Yoshida</v>
      </c>
      <c r="AH184" s="435">
        <v>44461</v>
      </c>
      <c r="AI184" s="435" t="str">
        <v>D. Tosi</v>
      </c>
      <c r="AJ184" s="435">
        <v>44461</v>
      </c>
      <c r="AK184" s="462" t="str">
        <v>Pallet sizes are under review. shipped in 20 and 40ft container. Container weight not included in the assumption that pallet will be taken out in CHC.</v>
      </c>
      <c r="AL184" s="451">
        <v>0</v>
      </c>
    </row>
    <row r="185" spans="1:38" ht="33.950000000000003">
      <c r="A185" s="477">
        <v>1.3</v>
      </c>
      <c r="B185" s="475" t="str">
        <v>Installation</v>
      </c>
      <c r="C185" s="472" t="str">
        <v>String Sensors 89-93</v>
      </c>
      <c r="D185" s="472" t="str">
        <v>Sensors (D-Eggs) pallets with 12 sensors  in McMurdo overwinter - Do Not Deep Freeze</v>
      </c>
      <c r="E185" s="441">
        <v>60</v>
      </c>
      <c r="F185" s="441">
        <v>41</v>
      </c>
      <c r="G185" s="441">
        <v>69</v>
      </c>
      <c r="H185" s="445">
        <v>10</v>
      </c>
      <c r="I185" s="442">
        <v>982.29166666666674</v>
      </c>
      <c r="J185" s="442">
        <v>1102</v>
      </c>
      <c r="K185" s="441">
        <v>11020</v>
      </c>
      <c r="L185" s="485" t="str">
        <v>actual</v>
      </c>
      <c r="M185" s="463" t="str">
        <v>DNDF [-40C]</v>
      </c>
      <c r="N185" s="462" t="str">
        <v>Chiba</v>
      </c>
      <c r="O185" s="473">
        <v>61</v>
      </c>
      <c r="P185" s="429">
        <v>45078</v>
      </c>
      <c r="Q185" s="429" t="str">
        <v>ChibaU - CHC</v>
      </c>
      <c r="R185" s="429">
        <v>45139</v>
      </c>
      <c r="S185" s="457" t="str">
        <v>Cargo shipment by CHU</v>
      </c>
      <c r="T185" s="458" t="str">
        <v>ChibaU - CHC</v>
      </c>
      <c r="U185" s="458" t="str">
        <v>-</v>
      </c>
      <c r="V185" s="459" t="str">
        <v>ComSur</v>
      </c>
      <c r="W185" s="460" t="str">
        <v>CHC - MCM</v>
      </c>
      <c r="X185" s="460" t="str">
        <v>-</v>
      </c>
      <c r="Y185" s="435" t="str">
        <v>USAP Air</v>
      </c>
      <c r="Z185" s="426">
        <v>45597</v>
      </c>
      <c r="AA185" s="435" t="str">
        <v>-</v>
      </c>
      <c r="AB185" s="435" t="str">
        <v>LC-130</v>
      </c>
      <c r="AC185" s="435">
        <v>45621</v>
      </c>
      <c r="AD185" s="462" t="str">
        <v>Yes</v>
      </c>
      <c r="AE185" s="462" t="str">
        <v>FY25 inter</v>
      </c>
      <c r="AF185" s="462" t="str">
        <v>FY25 intra</v>
      </c>
      <c r="AG185" s="435" t="str">
        <v>S. Yoshida</v>
      </c>
      <c r="AH185" s="435">
        <v>44461</v>
      </c>
      <c r="AI185" s="435" t="str">
        <v>D. Tosi</v>
      </c>
      <c r="AJ185" s="435">
        <v>44461</v>
      </c>
      <c r="AK185" s="462" t="str">
        <v>Pallet sizes are under review. shipped in 20 and 40ft container. Container weight not included in the assumption that pallet will be taken out in CHC.</v>
      </c>
      <c r="AL185" s="451">
        <v>0</v>
      </c>
    </row>
    <row r="186" spans="1:38" ht="33.950000000000003">
      <c r="A186" s="477">
        <v>1.2</v>
      </c>
      <c r="B186" s="475">
        <v>0</v>
      </c>
      <c r="C186" s="472" t="str">
        <v>Field Season 3 Fuel</v>
      </c>
      <c r="D186" s="472" t="str">
        <v>Fuel to support FY25 field season - Base fuel &amp; deep drilling</v>
      </c>
      <c r="E186" s="445">
        <v>0</v>
      </c>
      <c r="F186" s="445">
        <v>0</v>
      </c>
      <c r="G186" s="445">
        <v>0</v>
      </c>
      <c r="H186" s="445">
        <v>62694</v>
      </c>
      <c r="I186" s="442">
        <v>8380.9681679883215</v>
      </c>
      <c r="J186" s="442">
        <v>6.8</v>
      </c>
      <c r="K186" s="441">
        <v>426319.2</v>
      </c>
      <c r="L186" s="485" t="str">
        <v>preliminary</v>
      </c>
      <c r="M186" s="463">
        <v>0</v>
      </c>
      <c r="N186" s="462">
        <v>0</v>
      </c>
      <c r="O186" s="473">
        <v>0</v>
      </c>
      <c r="P186" s="429" t="str">
        <v>-</v>
      </c>
      <c r="Q186" s="429" t="str">
        <v>-</v>
      </c>
      <c r="R186" s="429" t="str">
        <v>-</v>
      </c>
      <c r="S186" s="457" t="str">
        <v>-</v>
      </c>
      <c r="T186" s="458" t="str">
        <v>-</v>
      </c>
      <c r="U186" s="458" t="str">
        <v>-</v>
      </c>
      <c r="V186" s="459" t="str">
        <v>-</v>
      </c>
      <c r="W186" s="460" t="str">
        <v>-</v>
      </c>
      <c r="X186" s="460" t="str">
        <v>-</v>
      </c>
      <c r="Y186" s="435" t="str">
        <v>-</v>
      </c>
      <c r="Z186" s="426">
        <v>45597</v>
      </c>
      <c r="AA186" s="435" t="str">
        <v>-</v>
      </c>
      <c r="AB186" s="435" t="str">
        <v>LC-130/SPoT</v>
      </c>
      <c r="AC186" s="435">
        <v>45627</v>
      </c>
      <c r="AD186" s="462" t="str">
        <v>Yes</v>
      </c>
      <c r="AE186" s="462" t="str">
        <v>FY25 inter</v>
      </c>
      <c r="AF186" s="462" t="str">
        <v>FY25 intra</v>
      </c>
      <c r="AG186" s="435" t="str">
        <v>T. Benson</v>
      </c>
      <c r="AH186" s="435">
        <v>44483</v>
      </c>
      <c r="AI186" s="435" t="str">
        <v>I. McEwen</v>
      </c>
      <c r="AJ186" s="435">
        <v>44483</v>
      </c>
      <c r="AK186" s="462">
        <v>0</v>
      </c>
      <c r="AL186" s="451">
        <v>0</v>
      </c>
    </row>
    <row r="187" spans="1:38" ht="17.100000000000001">
      <c r="A187" s="477">
        <v>1.2</v>
      </c>
      <c r="B187" s="475">
        <v>0</v>
      </c>
      <c r="C187" s="486" t="str">
        <v>Field Season 3 Fuel Contingency</v>
      </c>
      <c r="D187" s="472" t="str">
        <v>Fuel to suppport FY25 field season - Contingency</v>
      </c>
      <c r="E187" s="445">
        <v>0</v>
      </c>
      <c r="F187" s="445">
        <v>0</v>
      </c>
      <c r="G187" s="445">
        <v>0</v>
      </c>
      <c r="H187" s="445">
        <v>8473</v>
      </c>
      <c r="I187" s="442">
        <v>1132.6752685642175</v>
      </c>
      <c r="J187" s="442">
        <v>6.8</v>
      </c>
      <c r="K187" s="441">
        <v>57616.4</v>
      </c>
      <c r="L187" s="485" t="str">
        <v>preliminary</v>
      </c>
      <c r="M187" s="463">
        <v>0</v>
      </c>
      <c r="N187" s="462">
        <v>0</v>
      </c>
      <c r="O187" s="473">
        <v>0</v>
      </c>
      <c r="P187" s="429" t="str">
        <v>-</v>
      </c>
      <c r="Q187" s="429" t="str">
        <v>-</v>
      </c>
      <c r="R187" s="429" t="str">
        <v>-</v>
      </c>
      <c r="S187" s="457" t="str">
        <v>-</v>
      </c>
      <c r="T187" s="458" t="str">
        <v>-</v>
      </c>
      <c r="U187" s="458" t="str">
        <v>-</v>
      </c>
      <c r="V187" s="459" t="str">
        <v>-</v>
      </c>
      <c r="W187" s="460" t="str">
        <v>-</v>
      </c>
      <c r="X187" s="460" t="str">
        <v>-</v>
      </c>
      <c r="Y187" s="426" t="str">
        <v>-</v>
      </c>
      <c r="Z187" s="426">
        <v>45597</v>
      </c>
      <c r="AA187" s="435" t="str">
        <v>-</v>
      </c>
      <c r="AB187" s="435" t="str">
        <v>LC-130/SPoT</v>
      </c>
      <c r="AC187" s="435">
        <v>45627</v>
      </c>
      <c r="AD187" s="462" t="str">
        <v>Yes</v>
      </c>
      <c r="AE187" s="462" t="str">
        <v>FY25 inter</v>
      </c>
      <c r="AF187" s="462" t="str">
        <v>FY25 intra</v>
      </c>
      <c r="AG187" s="435" t="str">
        <v>T. Benson</v>
      </c>
      <c r="AH187" s="435">
        <v>44483</v>
      </c>
      <c r="AI187" s="435" t="str">
        <v>I. McEwen</v>
      </c>
      <c r="AJ187" s="435">
        <v>44483</v>
      </c>
      <c r="AK187" s="462">
        <v>0</v>
      </c>
      <c r="AL187" s="451">
        <v>0</v>
      </c>
    </row>
    <row r="188" spans="1:38">
      <c r="A188" s="466"/>
      <c r="B188" s="451"/>
      <c r="C188" s="451"/>
      <c r="D188" s="451"/>
      <c r="E188" s="467"/>
      <c r="F188" s="467"/>
      <c r="G188" s="467"/>
      <c r="H188" s="467"/>
      <c r="I188" s="136">
        <f>SUBTOTAL(9,I165:I187)</f>
        <v>18371.257151830312</v>
      </c>
      <c r="J188" s="136"/>
      <c r="K188" s="136">
        <f t="shared" ref="K188" si="6">SUBTOTAL(9,K165:K187)</f>
        <v>655346.6</v>
      </c>
      <c r="L188" s="451"/>
      <c r="M188" s="451"/>
      <c r="N188" s="451"/>
      <c r="O188" s="468"/>
      <c r="P188" s="469"/>
      <c r="Q188" s="469"/>
      <c r="R188" s="469"/>
      <c r="S188" s="451"/>
      <c r="T188" s="469"/>
      <c r="U188" s="469"/>
      <c r="V188" s="451"/>
      <c r="W188" s="469"/>
      <c r="X188" s="469"/>
      <c r="Y188" s="469"/>
      <c r="Z188" s="469"/>
      <c r="AA188" s="469"/>
      <c r="AB188" s="469"/>
      <c r="AC188" s="469"/>
      <c r="AD188" s="451"/>
      <c r="AE188" s="451"/>
      <c r="AF188" s="451"/>
      <c r="AG188" s="469"/>
      <c r="AH188" s="469"/>
      <c r="AI188" s="469"/>
      <c r="AJ188" s="469"/>
      <c r="AK188" s="451"/>
      <c r="AL188" s="451"/>
    </row>
    <row r="189" spans="1:38" ht="17.100000000000001" thickBot="1">
      <c r="A189" s="466"/>
      <c r="B189" s="451"/>
      <c r="C189" s="451"/>
      <c r="D189" s="451"/>
      <c r="E189" s="467"/>
      <c r="F189" s="467"/>
      <c r="G189" s="467"/>
      <c r="H189" s="467"/>
      <c r="I189" s="467"/>
      <c r="J189" s="467"/>
      <c r="K189" s="467"/>
      <c r="L189" s="451"/>
      <c r="M189" s="451"/>
      <c r="N189" s="451"/>
      <c r="O189" s="468"/>
      <c r="P189" s="469"/>
      <c r="Q189" s="469"/>
      <c r="R189" s="469"/>
      <c r="S189" s="451"/>
      <c r="T189" s="469"/>
      <c r="U189" s="469"/>
      <c r="V189" s="451"/>
      <c r="W189" s="469"/>
      <c r="X189" s="469"/>
      <c r="Y189" s="469"/>
      <c r="Z189" s="469"/>
      <c r="AA189" s="469"/>
      <c r="AB189" s="469"/>
      <c r="AC189" s="469"/>
      <c r="AD189" s="451"/>
      <c r="AE189" s="451"/>
      <c r="AF189" s="451"/>
      <c r="AG189" s="469"/>
      <c r="AH189" s="469"/>
      <c r="AI189" s="469"/>
      <c r="AJ189" s="469"/>
      <c r="AK189" s="451"/>
      <c r="AL189" s="451"/>
    </row>
    <row r="190" spans="1:38">
      <c r="A190" s="466"/>
      <c r="B190" s="451"/>
      <c r="C190" s="229" t="s">
        <v>37</v>
      </c>
      <c r="D190" s="230"/>
      <c r="E190" s="231"/>
      <c r="F190" s="231"/>
      <c r="G190" s="231"/>
      <c r="H190" s="231"/>
      <c r="I190" s="231">
        <f>InMcMurdo!C116</f>
        <v>9962.1232638888905</v>
      </c>
      <c r="J190" s="231"/>
      <c r="K190" s="232">
        <f>InMcMurdo!D116</f>
        <v>121001</v>
      </c>
      <c r="L190" s="451"/>
      <c r="M190" s="451"/>
      <c r="N190" s="451"/>
      <c r="O190" s="468"/>
      <c r="P190" s="469"/>
      <c r="Q190" s="469"/>
      <c r="R190" s="469"/>
      <c r="S190" s="451"/>
      <c r="T190" s="469"/>
      <c r="U190" s="469"/>
      <c r="V190" s="451"/>
      <c r="W190" s="469"/>
      <c r="X190" s="469"/>
      <c r="Y190" s="469"/>
      <c r="Z190" s="469"/>
      <c r="AA190" s="469"/>
      <c r="AB190" s="469"/>
      <c r="AC190" s="469"/>
      <c r="AD190" s="451"/>
      <c r="AE190" s="451"/>
      <c r="AF190" s="451"/>
      <c r="AG190" s="469"/>
      <c r="AH190" s="469"/>
      <c r="AI190" s="469"/>
      <c r="AJ190" s="469"/>
      <c r="AK190" s="451"/>
      <c r="AL190" s="451"/>
    </row>
    <row r="191" spans="1:38">
      <c r="A191" s="466"/>
      <c r="B191" s="451"/>
      <c r="C191" s="233" t="s">
        <v>434</v>
      </c>
      <c r="D191" s="234"/>
      <c r="E191" s="136"/>
      <c r="F191" s="136"/>
      <c r="G191" s="136"/>
      <c r="H191" s="136"/>
      <c r="I191" s="136">
        <f>I160+I87+I31+I11</f>
        <v>42781.54396426546</v>
      </c>
      <c r="J191" s="136"/>
      <c r="K191" s="235">
        <f>K160+K87+K31+K11</f>
        <v>1044245.8</v>
      </c>
      <c r="L191" s="451"/>
      <c r="M191" s="451"/>
      <c r="N191" s="451"/>
      <c r="O191" s="468"/>
      <c r="P191" s="469"/>
      <c r="Q191" s="469"/>
      <c r="R191" s="469"/>
      <c r="S191" s="451"/>
      <c r="T191" s="469"/>
      <c r="U191" s="469"/>
      <c r="V191" s="451"/>
      <c r="W191" s="469"/>
      <c r="X191" s="469"/>
      <c r="Y191" s="469"/>
      <c r="Z191" s="469"/>
      <c r="AA191" s="469"/>
      <c r="AB191" s="469"/>
      <c r="AC191" s="469"/>
      <c r="AD191" s="451"/>
      <c r="AE191" s="451"/>
      <c r="AF191" s="451"/>
      <c r="AG191" s="469"/>
      <c r="AH191" s="469"/>
      <c r="AI191" s="469"/>
      <c r="AJ191" s="469"/>
      <c r="AK191" s="451"/>
      <c r="AL191" s="451"/>
    </row>
    <row r="192" spans="1:38" ht="17.100000000000001" thickBot="1">
      <c r="A192" s="466"/>
      <c r="B192" s="451"/>
      <c r="C192" s="236" t="s">
        <v>435</v>
      </c>
      <c r="D192" s="237"/>
      <c r="E192" s="238"/>
      <c r="F192" s="238"/>
      <c r="G192" s="238"/>
      <c r="H192" s="238"/>
      <c r="I192" s="238">
        <f>I188+I135+I53</f>
        <v>52743.667228154351</v>
      </c>
      <c r="J192" s="238"/>
      <c r="K192" s="239">
        <f>K188+K135+K53</f>
        <v>1165246.8</v>
      </c>
      <c r="L192" s="451"/>
      <c r="M192" s="451"/>
      <c r="N192" s="451"/>
      <c r="O192" s="468"/>
      <c r="P192" s="469"/>
      <c r="Q192" s="469"/>
      <c r="R192" s="469"/>
      <c r="S192" s="451"/>
      <c r="T192" s="469"/>
      <c r="U192" s="469"/>
      <c r="V192" s="451"/>
      <c r="W192" s="469"/>
      <c r="X192" s="469"/>
      <c r="Y192" s="469"/>
      <c r="Z192" s="469"/>
      <c r="AA192" s="469"/>
      <c r="AB192" s="469"/>
      <c r="AC192" s="469"/>
      <c r="AD192" s="451"/>
      <c r="AE192" s="451"/>
      <c r="AF192" s="451"/>
      <c r="AG192" s="469"/>
      <c r="AH192" s="469"/>
      <c r="AI192" s="469"/>
      <c r="AJ192" s="469"/>
      <c r="AK192" s="451"/>
      <c r="AL192" s="451"/>
    </row>
  </sheetData>
  <sheetProtection sheet="1" objects="1" scenarios="1" formatCells="0" formatColumns="0" formatRows="0" insertColumns="0"/>
  <conditionalFormatting sqref="O1:O1048576">
    <cfRule type="cellIs" dxfId="36" priority="2" operator="between">
      <formula>0.1</formula>
      <formula>30</formula>
    </cfRule>
    <cfRule type="cellIs" dxfId="35" priority="1" operator="between">
      <formula>31</formula>
      <formula>60</formula>
    </cfRule>
  </conditionalFormatting>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BDE2C-3881-4531-9236-EFCB3A12B5C8}">
  <dimension ref="A1:Z22"/>
  <sheetViews>
    <sheetView workbookViewId="0">
      <selection activeCell="H27" sqref="H27"/>
    </sheetView>
  </sheetViews>
  <sheetFormatPr defaultColWidth="43.42578125" defaultRowHeight="18.95"/>
  <cols>
    <col min="1" max="12" width="43.42578125" style="119"/>
    <col min="13" max="13" width="43.42578125" style="130"/>
    <col min="14" max="14" width="43.42578125" style="119"/>
    <col min="15" max="15" width="43.42578125" style="130"/>
    <col min="16" max="22" width="43.42578125" style="119"/>
    <col min="23" max="23" width="43.42578125" style="130"/>
    <col min="24" max="24" width="43.42578125" style="131"/>
    <col min="25" max="25" width="43.42578125" style="119"/>
    <col min="26" max="26" width="43.42578125" style="130"/>
    <col min="27" max="16384" width="43.42578125" style="119"/>
  </cols>
  <sheetData>
    <row r="1" spans="1:26" ht="21" thickBot="1">
      <c r="A1" s="115" t="s">
        <v>436</v>
      </c>
      <c r="B1" s="115" t="s">
        <v>437</v>
      </c>
      <c r="C1" s="115" t="s">
        <v>438</v>
      </c>
      <c r="D1" s="116" t="s">
        <v>439</v>
      </c>
      <c r="E1" s="116" t="s">
        <v>440</v>
      </c>
      <c r="F1" s="116" t="s">
        <v>441</v>
      </c>
      <c r="G1" s="117" t="s">
        <v>442</v>
      </c>
      <c r="H1" s="117" t="s">
        <v>443</v>
      </c>
      <c r="I1" s="118" t="s">
        <v>420</v>
      </c>
      <c r="M1" s="119"/>
      <c r="O1" s="119"/>
      <c r="W1" s="119"/>
      <c r="X1" s="119"/>
      <c r="Z1" s="119"/>
    </row>
    <row r="2" spans="1:26" ht="20.100000000000001">
      <c r="A2" s="120">
        <v>1.2</v>
      </c>
      <c r="B2" s="114" t="s">
        <v>444</v>
      </c>
      <c r="C2" s="120" t="s">
        <v>445</v>
      </c>
      <c r="D2" s="121" t="s">
        <v>446</v>
      </c>
      <c r="E2" s="114" t="s">
        <v>447</v>
      </c>
      <c r="F2" s="114" t="s">
        <v>448</v>
      </c>
      <c r="G2" s="122" t="s">
        <v>40</v>
      </c>
      <c r="H2" s="122">
        <v>384</v>
      </c>
      <c r="I2" s="123">
        <v>7500</v>
      </c>
      <c r="M2" s="119"/>
      <c r="O2" s="119"/>
      <c r="W2" s="119"/>
      <c r="X2" s="119"/>
      <c r="Z2" s="119"/>
    </row>
    <row r="3" spans="1:26" ht="20.100000000000001">
      <c r="A3" s="120">
        <v>1.2</v>
      </c>
      <c r="B3" s="120" t="s">
        <v>449</v>
      </c>
      <c r="C3" s="120" t="s">
        <v>445</v>
      </c>
      <c r="D3" s="120" t="s">
        <v>446</v>
      </c>
      <c r="E3" s="120" t="s">
        <v>450</v>
      </c>
      <c r="F3" s="114" t="s">
        <v>448</v>
      </c>
      <c r="G3" s="122" t="s">
        <v>40</v>
      </c>
      <c r="H3" s="122">
        <v>256</v>
      </c>
      <c r="I3" s="124">
        <v>4000</v>
      </c>
      <c r="M3" s="119"/>
      <c r="O3" s="119"/>
      <c r="W3" s="119"/>
      <c r="X3" s="119"/>
      <c r="Z3" s="119"/>
    </row>
    <row r="4" spans="1:26" ht="20.100000000000001">
      <c r="A4" s="125"/>
      <c r="B4" s="126" t="s">
        <v>451</v>
      </c>
      <c r="C4" s="125"/>
      <c r="D4" s="127"/>
      <c r="H4" s="128">
        <f>SUM(H2:H3)</f>
        <v>640</v>
      </c>
      <c r="I4" s="128">
        <f>SUM(I2:I3)</f>
        <v>11500</v>
      </c>
      <c r="J4" s="129"/>
      <c r="M4" s="119"/>
      <c r="O4" s="119"/>
      <c r="W4" s="119"/>
      <c r="X4" s="119"/>
      <c r="Z4" s="119"/>
    </row>
    <row r="5" spans="1:26" ht="20.100000000000001" thickBot="1"/>
    <row r="6" spans="1:26" ht="21" thickBot="1">
      <c r="A6" s="115" t="s">
        <v>436</v>
      </c>
      <c r="B6" s="115" t="s">
        <v>437</v>
      </c>
      <c r="C6" s="115" t="s">
        <v>438</v>
      </c>
      <c r="D6" s="115" t="s">
        <v>439</v>
      </c>
      <c r="E6" s="116" t="s">
        <v>440</v>
      </c>
      <c r="F6" s="116" t="s">
        <v>441</v>
      </c>
      <c r="G6" s="116" t="s">
        <v>442</v>
      </c>
      <c r="H6" s="117" t="s">
        <v>443</v>
      </c>
      <c r="I6" s="117" t="s">
        <v>420</v>
      </c>
    </row>
    <row r="7" spans="1:26" ht="20.100000000000001">
      <c r="A7" s="120">
        <v>1.2</v>
      </c>
      <c r="B7" s="120" t="s">
        <v>444</v>
      </c>
      <c r="C7" s="120" t="s">
        <v>445</v>
      </c>
      <c r="D7" s="120" t="s">
        <v>446</v>
      </c>
      <c r="E7" s="121" t="s">
        <v>447</v>
      </c>
      <c r="F7" s="114" t="s">
        <v>452</v>
      </c>
      <c r="G7" s="114" t="s">
        <v>40</v>
      </c>
      <c r="H7" s="122">
        <v>384</v>
      </c>
      <c r="I7" s="122">
        <v>7200</v>
      </c>
    </row>
    <row r="8" spans="1:26" ht="20.100000000000001">
      <c r="A8" s="120" t="s">
        <v>453</v>
      </c>
      <c r="B8" s="120" t="s">
        <v>449</v>
      </c>
      <c r="C8" s="120" t="s">
        <v>445</v>
      </c>
      <c r="D8" s="120" t="s">
        <v>446</v>
      </c>
      <c r="E8" s="120" t="s">
        <v>450</v>
      </c>
      <c r="F8" s="120" t="s">
        <v>452</v>
      </c>
      <c r="G8" s="114" t="s">
        <v>40</v>
      </c>
      <c r="H8" s="122">
        <v>256</v>
      </c>
      <c r="I8" s="122">
        <v>4000</v>
      </c>
    </row>
    <row r="9" spans="1:26">
      <c r="A9" s="125"/>
      <c r="B9" s="132" t="s">
        <v>451</v>
      </c>
      <c r="C9" s="126"/>
      <c r="D9" s="125"/>
      <c r="E9" s="127"/>
      <c r="H9" s="119">
        <f>SUM(H7:H8)</f>
        <v>640</v>
      </c>
      <c r="I9" s="128">
        <f>SUM(I7:I8)</f>
        <v>11200</v>
      </c>
    </row>
    <row r="11" spans="1:26" ht="20.100000000000001" thickBot="1"/>
    <row r="12" spans="1:26" ht="21" thickBot="1">
      <c r="A12" s="115" t="s">
        <v>436</v>
      </c>
      <c r="B12" s="115" t="s">
        <v>437</v>
      </c>
      <c r="C12" s="115" t="s">
        <v>438</v>
      </c>
      <c r="D12" s="116" t="s">
        <v>439</v>
      </c>
      <c r="E12" s="116" t="s">
        <v>440</v>
      </c>
      <c r="F12" s="116" t="s">
        <v>441</v>
      </c>
      <c r="G12" s="117" t="s">
        <v>442</v>
      </c>
      <c r="H12" s="117" t="s">
        <v>443</v>
      </c>
      <c r="I12" s="118" t="s">
        <v>420</v>
      </c>
    </row>
    <row r="13" spans="1:26" ht="20.100000000000001">
      <c r="A13" s="120">
        <v>1.2</v>
      </c>
      <c r="B13" s="114" t="s">
        <v>454</v>
      </c>
      <c r="C13" s="120" t="s">
        <v>445</v>
      </c>
      <c r="D13" s="114" t="s">
        <v>455</v>
      </c>
      <c r="E13" s="114" t="s">
        <v>456</v>
      </c>
      <c r="F13" s="114" t="s">
        <v>457</v>
      </c>
      <c r="G13" s="133" t="s">
        <v>40</v>
      </c>
      <c r="H13" s="133">
        <v>4585</v>
      </c>
      <c r="I13" s="124">
        <v>62400</v>
      </c>
    </row>
    <row r="14" spans="1:26" ht="20.100000000000001">
      <c r="A14" s="120">
        <v>1.2</v>
      </c>
      <c r="B14" s="114" t="s">
        <v>458</v>
      </c>
      <c r="C14" s="120" t="s">
        <v>445</v>
      </c>
      <c r="D14" s="121" t="s">
        <v>446</v>
      </c>
      <c r="E14" s="114" t="s">
        <v>459</v>
      </c>
      <c r="F14" s="114" t="s">
        <v>457</v>
      </c>
      <c r="G14" s="133" t="s">
        <v>57</v>
      </c>
      <c r="H14" s="122">
        <v>1360</v>
      </c>
      <c r="I14" s="123">
        <v>17000</v>
      </c>
    </row>
    <row r="15" spans="1:26" ht="39.950000000000003">
      <c r="A15" s="114">
        <v>1.5</v>
      </c>
      <c r="B15" s="114" t="s">
        <v>201</v>
      </c>
      <c r="C15" s="114" t="s">
        <v>445</v>
      </c>
      <c r="D15" s="114" t="s">
        <v>460</v>
      </c>
      <c r="E15" s="114" t="s">
        <v>461</v>
      </c>
      <c r="F15" s="137" t="s">
        <v>462</v>
      </c>
      <c r="G15" s="114" t="s">
        <v>57</v>
      </c>
      <c r="H15" s="114">
        <v>203</v>
      </c>
      <c r="I15" s="124">
        <v>3500</v>
      </c>
    </row>
    <row r="16" spans="1:26" ht="39.950000000000003">
      <c r="A16" s="134">
        <v>1.5</v>
      </c>
      <c r="B16" s="114" t="s">
        <v>204</v>
      </c>
      <c r="C16" s="114" t="s">
        <v>445</v>
      </c>
      <c r="D16" s="114" t="s">
        <v>463</v>
      </c>
      <c r="E16" s="134" t="s">
        <v>464</v>
      </c>
      <c r="F16" s="137" t="s">
        <v>462</v>
      </c>
      <c r="G16" s="134" t="s">
        <v>57</v>
      </c>
      <c r="H16" s="134">
        <v>48</v>
      </c>
      <c r="I16" s="134">
        <v>400</v>
      </c>
    </row>
    <row r="17" spans="1:9" ht="20.100000000000001">
      <c r="A17" s="114">
        <v>1.2</v>
      </c>
      <c r="B17" s="134" t="s">
        <v>465</v>
      </c>
      <c r="C17" s="114" t="s">
        <v>445</v>
      </c>
      <c r="D17" s="138" t="s">
        <v>117</v>
      </c>
      <c r="E17" s="114" t="s">
        <v>466</v>
      </c>
      <c r="F17" s="114" t="s">
        <v>457</v>
      </c>
      <c r="G17" s="114" t="s">
        <v>57</v>
      </c>
      <c r="H17" s="114">
        <v>192</v>
      </c>
      <c r="I17" s="124">
        <v>1800</v>
      </c>
    </row>
    <row r="18" spans="1:9" ht="20.100000000000001">
      <c r="A18" s="114" t="s">
        <v>453</v>
      </c>
      <c r="B18" s="114" t="s">
        <v>449</v>
      </c>
      <c r="C18" s="114" t="s">
        <v>445</v>
      </c>
      <c r="D18" s="114" t="s">
        <v>446</v>
      </c>
      <c r="E18" s="114" t="s">
        <v>450</v>
      </c>
      <c r="F18" s="114" t="s">
        <v>457</v>
      </c>
      <c r="G18" s="114" t="s">
        <v>57</v>
      </c>
      <c r="H18" s="114">
        <v>256</v>
      </c>
      <c r="I18" s="124">
        <v>4000</v>
      </c>
    </row>
    <row r="19" spans="1:9" ht="20.100000000000001">
      <c r="A19" s="114">
        <v>1.3</v>
      </c>
      <c r="B19" s="114" t="s">
        <v>467</v>
      </c>
      <c r="C19" s="114" t="s">
        <v>445</v>
      </c>
      <c r="D19" s="114" t="s">
        <v>468</v>
      </c>
      <c r="E19" s="114" t="s">
        <v>469</v>
      </c>
      <c r="F19" s="114"/>
      <c r="G19" s="114" t="s">
        <v>57</v>
      </c>
      <c r="H19" s="114">
        <v>153</v>
      </c>
      <c r="I19" s="124">
        <v>1719</v>
      </c>
    </row>
    <row r="20" spans="1:9" ht="20.100000000000001">
      <c r="A20" s="114">
        <v>1.3</v>
      </c>
      <c r="B20" s="114" t="s">
        <v>470</v>
      </c>
      <c r="C20" s="114" t="s">
        <v>445</v>
      </c>
      <c r="D20" s="114" t="s">
        <v>471</v>
      </c>
      <c r="E20" s="114" t="s">
        <v>472</v>
      </c>
      <c r="F20" s="114"/>
      <c r="G20" s="114" t="s">
        <v>57</v>
      </c>
      <c r="H20" s="114">
        <v>84</v>
      </c>
      <c r="I20" s="124">
        <v>794</v>
      </c>
    </row>
    <row r="21" spans="1:9" ht="20.100000000000001">
      <c r="A21" s="114">
        <v>1.3</v>
      </c>
      <c r="B21" s="114" t="s">
        <v>473</v>
      </c>
      <c r="C21" s="114" t="s">
        <v>445</v>
      </c>
      <c r="D21" s="114" t="s">
        <v>471</v>
      </c>
      <c r="E21" s="114" t="s">
        <v>474</v>
      </c>
      <c r="F21" s="114"/>
      <c r="G21" s="114" t="s">
        <v>57</v>
      </c>
      <c r="H21" s="114">
        <v>117</v>
      </c>
      <c r="I21" s="124">
        <v>1169</v>
      </c>
    </row>
    <row r="22" spans="1:9" ht="20.100000000000001">
      <c r="A22" s="125"/>
      <c r="B22" s="126" t="s">
        <v>451</v>
      </c>
      <c r="D22" s="127"/>
      <c r="H22" s="128">
        <f>SUM(H12:H21)</f>
        <v>6998</v>
      </c>
      <c r="I22" s="129">
        <f>SUM(I12:I21)</f>
        <v>92782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D1C42-7E5A-D647-94ED-3BDDEE6257A8}">
  <sheetPr codeName="Sheet3" filterMode="1"/>
  <dimension ref="A1:AN353"/>
  <sheetViews>
    <sheetView topLeftCell="D1" workbookViewId="0">
      <selection activeCell="O1" sqref="O1"/>
    </sheetView>
  </sheetViews>
  <sheetFormatPr defaultColWidth="9.140625" defaultRowHeight="15"/>
  <cols>
    <col min="1" max="2" width="12.85546875" style="9" customWidth="1"/>
    <col min="3" max="3" width="28" style="15" customWidth="1"/>
    <col min="4" max="4" width="73.7109375" style="15" customWidth="1"/>
    <col min="5" max="7" width="12" style="9" customWidth="1"/>
    <col min="8" max="8" width="10.140625" style="9" customWidth="1"/>
    <col min="9" max="10" width="8.7109375" style="9" customWidth="1"/>
    <col min="11" max="11" width="10" style="9" customWidth="1"/>
    <col min="12" max="12" width="16.28515625" style="74" customWidth="1"/>
    <col min="13" max="13" width="12.7109375" style="9" customWidth="1"/>
    <col min="14" max="14" width="17.140625" style="9" customWidth="1"/>
    <col min="15" max="15" width="17.140625" style="80" customWidth="1"/>
    <col min="16" max="16" width="17.7109375" style="80" customWidth="1"/>
    <col min="17" max="18" width="16.7109375" style="80" customWidth="1"/>
    <col min="19" max="19" width="17.7109375" style="9" customWidth="1"/>
    <col min="20" max="21" width="16.7109375" style="9" customWidth="1"/>
    <col min="22" max="22" width="17.7109375" style="9" customWidth="1"/>
    <col min="23" max="24" width="16.7109375" style="9" customWidth="1"/>
    <col min="25" max="25" width="18.85546875" style="80" customWidth="1"/>
    <col min="26" max="26" width="19.7109375" style="13" customWidth="1"/>
    <col min="27" max="27" width="16.42578125" style="9" customWidth="1"/>
    <col min="28" max="29" width="16.42578125" style="80" customWidth="1"/>
    <col min="30" max="32" width="16.42578125" style="9" customWidth="1"/>
    <col min="33" max="35" width="16.42578125" style="80" customWidth="1"/>
    <col min="36" max="36" width="20.140625" style="80" customWidth="1"/>
    <col min="37" max="37" width="60.7109375" style="9" customWidth="1"/>
    <col min="38" max="16384" width="9.140625" style="9"/>
  </cols>
  <sheetData>
    <row r="1" spans="1:40" ht="102">
      <c r="A1" s="28" t="str" cm="1">
        <f t="array" ref="A1:AL93">IF(ISBLANK(cargo_table),"",cargo_table)</f>
        <v>Cargo Item  respective WBS Level</v>
      </c>
      <c r="B1" s="28" t="str">
        <v>Work Package</v>
      </c>
      <c r="C1" s="29" t="str">
        <v>Item Description</v>
      </c>
      <c r="D1" s="30" t="str">
        <v>Contents &amp; Comments</v>
      </c>
      <c r="E1" s="28" t="str">
        <v>Length (in)</v>
      </c>
      <c r="F1" s="28" t="str">
        <v>Width (in)</v>
      </c>
      <c r="G1" s="28" t="str">
        <v>Height (in)</v>
      </c>
      <c r="H1" s="28" t="str">
        <v>Quantity</v>
      </c>
      <c r="I1" s="28" t="str">
        <v xml:space="preserve"> Cubic feet</v>
      </c>
      <c r="J1" s="28" t="str">
        <v>Unit weight (lbs)</v>
      </c>
      <c r="K1" s="28" t="str">
        <v>Total Weight (lbs) = quantity x unit weight</v>
      </c>
      <c r="L1" s="28" t="str">
        <v>Basis of Estimate</v>
      </c>
      <c r="M1" s="28" t="str">
        <v>Special Handling?</v>
      </c>
      <c r="N1" s="28" t="str">
        <v xml:space="preserve">Owner/Guardian institution </v>
      </c>
      <c r="O1" s="404" t="str">
        <v>Time between date of completion and shipping date</v>
      </c>
      <c r="P1" s="93" t="str">
        <v xml:space="preserve">Date of expected  or actual  completion </v>
      </c>
      <c r="Q1" s="93" t="str">
        <v>Expected Route:  Owner - PTH or CHC</v>
      </c>
      <c r="R1" s="93" t="str">
        <v xml:space="preserve">Date of expected or actual shipment </v>
      </c>
      <c r="S1" s="32" t="str">
        <v>Recommended Transportation Option</v>
      </c>
      <c r="T1" s="32" t="str">
        <v>Expected Route: PTH - MCM or CHC</v>
      </c>
      <c r="U1" s="32" t="str">
        <v xml:space="preserve">Date of expected or actual shipment </v>
      </c>
      <c r="V1" s="33" t="str">
        <v>Recommended Transportation Option</v>
      </c>
      <c r="W1" s="33" t="str">
        <v>Expected Route: CHC - MCM</v>
      </c>
      <c r="X1" s="33" t="str">
        <v xml:space="preserve">Date of expected or actual shipment </v>
      </c>
      <c r="Y1" s="83" t="str">
        <v>Recommended Transportation Option</v>
      </c>
      <c r="Z1" s="28" t="str">
        <v>Date Item expected or arrived to MCM</v>
      </c>
      <c r="AA1" s="28" t="str">
        <v xml:space="preserve">Date of (planned) or actual shipment to SPA </v>
      </c>
      <c r="AB1" s="83" t="str">
        <v>Recommended LC-130 or SPOT</v>
      </c>
      <c r="AC1" s="83" t="str">
        <v>Date/Month for Items needed at South Pole</v>
      </c>
      <c r="AD1" s="28" t="str">
        <v>Critical Path</v>
      </c>
      <c r="AE1" s="28" t="str">
        <v>Intercontinental shipping</v>
      </c>
      <c r="AF1" s="28" t="str">
        <v>Intracontinental shipping</v>
      </c>
      <c r="AG1" s="83" t="str">
        <v>Validator 1
(SME)</v>
      </c>
      <c r="AH1" s="83" t="str">
        <v>Validation Date</v>
      </c>
      <c r="AI1" s="83" t="str">
        <v>Validator 2
(Logistics)</v>
      </c>
      <c r="AJ1" s="83" t="str">
        <v>Validation Date</v>
      </c>
      <c r="AK1" s="28" t="str">
        <v>Notes</v>
      </c>
      <c r="AL1" s="9" t="str">
        <v/>
      </c>
    </row>
    <row r="2" spans="1:40" ht="33.950000000000003">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9">
        <v>43867</v>
      </c>
      <c r="Q2" s="429" t="str">
        <v>In McMurdo</v>
      </c>
      <c r="R2" s="429" t="str">
        <v>-</v>
      </c>
      <c r="S2" s="430" t="str">
        <v>-</v>
      </c>
      <c r="T2" s="431" t="str">
        <v>In McMurdo</v>
      </c>
      <c r="U2" s="431" t="str">
        <v>-</v>
      </c>
      <c r="V2" s="432" t="str">
        <v>-</v>
      </c>
      <c r="W2" s="433" t="str">
        <v>In McMurdo</v>
      </c>
      <c r="X2" s="433" t="str">
        <v>-</v>
      </c>
      <c r="Y2" s="88" t="str">
        <v>-</v>
      </c>
      <c r="Z2" s="434" t="str">
        <v>In McMurdo</v>
      </c>
      <c r="AA2" s="409" t="str">
        <v>-</v>
      </c>
      <c r="AB2" s="435" t="str">
        <v>SPoT</v>
      </c>
      <c r="AC2" s="435">
        <v>45261</v>
      </c>
      <c r="AD2" s="409" t="str">
        <v>Yes</v>
      </c>
      <c r="AE2" s="409" t="str">
        <v>In McMurdo</v>
      </c>
      <c r="AF2" s="409" t="str">
        <v>FY24 intra</v>
      </c>
      <c r="AG2" s="435" t="str">
        <v>D. Gibson</v>
      </c>
      <c r="AH2" s="435">
        <v>44475</v>
      </c>
      <c r="AI2" s="435" t="str">
        <v>I. McEwen</v>
      </c>
      <c r="AJ2" s="78">
        <v>44475</v>
      </c>
      <c r="AK2" s="409" t="str">
        <v>Will require crane for onload/offload  - use belly band to support container sidewalls during lift.</v>
      </c>
      <c r="AL2" s="9" t="str">
        <v/>
      </c>
    </row>
    <row r="3" spans="1:40" ht="5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9">
        <v>43845</v>
      </c>
      <c r="Q3" s="429" t="str">
        <v>In McMurdo</v>
      </c>
      <c r="R3" s="429" t="str">
        <v>-</v>
      </c>
      <c r="S3" s="430" t="str">
        <v>-</v>
      </c>
      <c r="T3" s="431" t="str">
        <v>In McMurdo</v>
      </c>
      <c r="U3" s="431" t="str">
        <v>-</v>
      </c>
      <c r="V3" s="432" t="str">
        <v>-</v>
      </c>
      <c r="W3" s="433" t="str">
        <v>In McMurdo</v>
      </c>
      <c r="X3" s="433" t="str">
        <v>-</v>
      </c>
      <c r="Y3" s="88" t="str">
        <v>-</v>
      </c>
      <c r="Z3" s="434" t="str">
        <v>In McMurdo</v>
      </c>
      <c r="AA3" s="409" t="str">
        <v>-</v>
      </c>
      <c r="AB3" s="435" t="str">
        <v>SPoT</v>
      </c>
      <c r="AC3" s="435">
        <v>44927</v>
      </c>
      <c r="AD3" s="409" t="str">
        <v>Yes</v>
      </c>
      <c r="AE3" s="409" t="str">
        <v>In McMurdo</v>
      </c>
      <c r="AF3" s="409" t="str">
        <v>FY23 intra</v>
      </c>
      <c r="AG3" s="435" t="str">
        <v>D. Gibson</v>
      </c>
      <c r="AH3" s="435">
        <v>44475</v>
      </c>
      <c r="AI3" s="435" t="str">
        <v>I. McEwen</v>
      </c>
      <c r="AJ3" s="78">
        <v>44475</v>
      </c>
      <c r="AK3" s="10" t="str">
        <v>Gens 2 &amp; 3 need to be tranferred from ISO2 sleds that are limited to use on improved surfaces only. Will require crane for onload/offload  - use belly band to support container sidewalls during lift.</v>
      </c>
      <c r="AL3" s="9" t="str">
        <v/>
      </c>
    </row>
    <row r="4" spans="1:40" ht="42.95"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9">
        <v>43845</v>
      </c>
      <c r="Q4" s="429" t="str">
        <v>In McMurdo</v>
      </c>
      <c r="R4" s="429" t="str">
        <v>-</v>
      </c>
      <c r="S4" s="430" t="str">
        <v>-</v>
      </c>
      <c r="T4" s="431" t="str">
        <v>In McMurdo</v>
      </c>
      <c r="U4" s="431" t="str">
        <v>-</v>
      </c>
      <c r="V4" s="432" t="str">
        <v>-</v>
      </c>
      <c r="W4" s="433" t="str">
        <v>In McMurdo</v>
      </c>
      <c r="X4" s="433" t="str">
        <v>-</v>
      </c>
      <c r="Y4" s="88" t="str">
        <v>-</v>
      </c>
      <c r="Z4" s="434" t="str">
        <v>In McMurdo</v>
      </c>
      <c r="AA4" s="409" t="str">
        <v>-</v>
      </c>
      <c r="AB4" s="435" t="str">
        <v>SPoT</v>
      </c>
      <c r="AC4" s="435">
        <v>44896</v>
      </c>
      <c r="AD4" s="409" t="str">
        <v>Yes</v>
      </c>
      <c r="AE4" s="409" t="str">
        <v>In McMurdo</v>
      </c>
      <c r="AF4" s="409" t="str">
        <v>FY23 intra</v>
      </c>
      <c r="AG4" s="435" t="str">
        <v>D. Gibson</v>
      </c>
      <c r="AH4" s="435">
        <v>44475</v>
      </c>
      <c r="AI4" s="435" t="str">
        <v>I. McEwen</v>
      </c>
      <c r="AJ4" s="78">
        <v>44475</v>
      </c>
      <c r="AK4" s="409" t="str">
        <v>Gens 2 &amp; 3 need to be tranferred from ISO2 sleds that are limited to use on improved surfaces only. Will require crane for onload/offload  - use belly band to support container sidewalls during lift.</v>
      </c>
      <c r="AL4" s="9" t="str">
        <v/>
      </c>
    </row>
    <row r="5" spans="1:40" ht="34.5"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9">
        <v>43753</v>
      </c>
      <c r="Q5" s="94" t="str">
        <v>In McMurdo</v>
      </c>
      <c r="R5" s="429">
        <v>43784</v>
      </c>
      <c r="S5" s="430" t="str">
        <v>Truck</v>
      </c>
      <c r="T5" s="431" t="str">
        <v>In McMurdo</v>
      </c>
      <c r="U5" s="431" t="str">
        <v>-</v>
      </c>
      <c r="V5" s="432" t="str">
        <v>-</v>
      </c>
      <c r="W5" s="433" t="str">
        <v>In McMurdo</v>
      </c>
      <c r="X5" s="433" t="str">
        <v>-</v>
      </c>
      <c r="Y5" s="88" t="str">
        <v>-</v>
      </c>
      <c r="Z5" s="434" t="str">
        <v>In McMurdo</v>
      </c>
      <c r="AA5" s="427" t="str">
        <v>-</v>
      </c>
      <c r="AB5" s="435" t="str">
        <v>LC-130/SPoT</v>
      </c>
      <c r="AC5" s="435">
        <v>44896</v>
      </c>
      <c r="AD5" s="409" t="str">
        <v>No*</v>
      </c>
      <c r="AE5" s="409" t="str">
        <v>In McMurdo</v>
      </c>
      <c r="AF5" s="409" t="str">
        <v>FY23 intra</v>
      </c>
      <c r="AG5" s="435" t="str">
        <v>D. Gibson</v>
      </c>
      <c r="AH5" s="435">
        <v>44476</v>
      </c>
      <c r="AI5" s="435" t="str">
        <v>I. McEwen</v>
      </c>
      <c r="AJ5" s="382">
        <v>44476</v>
      </c>
      <c r="AK5" s="409" t="str">
        <v>*Required onsite early in FY23 for refit/pre-drill activity support unless ASC can supply dedicated loader for Upgrade use</v>
      </c>
      <c r="AL5" s="9" t="str">
        <v/>
      </c>
    </row>
    <row r="6" spans="1:40" ht="44.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9">
        <v>43814</v>
      </c>
      <c r="Q6" s="429" t="str">
        <v>In McMurdo</v>
      </c>
      <c r="R6" s="429" t="str">
        <v/>
      </c>
      <c r="S6" s="431" t="str">
        <v/>
      </c>
      <c r="T6" s="431" t="str">
        <v>In McMurdo</v>
      </c>
      <c r="U6" s="431" t="str">
        <v>-</v>
      </c>
      <c r="V6" s="433" t="str">
        <v>-</v>
      </c>
      <c r="W6" s="433" t="str">
        <v>In McMurdo</v>
      </c>
      <c r="X6" s="433" t="str">
        <v>-</v>
      </c>
      <c r="Y6" s="88" t="str">
        <v>-</v>
      </c>
      <c r="Z6" s="434" t="str">
        <v>In McMurdo</v>
      </c>
      <c r="AA6" s="427" t="str">
        <v>-</v>
      </c>
      <c r="AB6" s="435" t="str">
        <v>LC-130/SPoT</v>
      </c>
      <c r="AC6" s="435">
        <v>45292</v>
      </c>
      <c r="AD6" s="409" t="str">
        <v>No</v>
      </c>
      <c r="AE6" s="409" t="str">
        <v>In McMurdo</v>
      </c>
      <c r="AF6" s="409" t="str">
        <v>FY24 intra</v>
      </c>
      <c r="AG6" s="435" t="str">
        <v>D. Gibson</v>
      </c>
      <c r="AH6" s="435">
        <v>44477</v>
      </c>
      <c r="AI6" s="435" t="str">
        <v>I. McEwen</v>
      </c>
      <c r="AJ6" s="435">
        <v>44477</v>
      </c>
      <c r="AK6" s="409" t="str">
        <v>Testing/limited operation of Gens can be accomplished without hoods - Hoods required for the drill season</v>
      </c>
      <c r="AL6" s="9" t="str">
        <v/>
      </c>
    </row>
    <row r="7" spans="1:40" ht="38.25"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9">
        <v>43845</v>
      </c>
      <c r="Q7" s="429" t="str">
        <v>In McMurdo</v>
      </c>
      <c r="R7" s="429" t="str">
        <v/>
      </c>
      <c r="S7" s="431" t="str">
        <v/>
      </c>
      <c r="T7" s="431" t="str">
        <v>In McMurdo</v>
      </c>
      <c r="U7" s="431" t="str">
        <v>-</v>
      </c>
      <c r="V7" s="433" t="str">
        <v>-</v>
      </c>
      <c r="W7" s="433" t="str">
        <v>In McMurdo</v>
      </c>
      <c r="X7" s="433" t="str">
        <v>-</v>
      </c>
      <c r="Y7" s="88" t="str">
        <v>-</v>
      </c>
      <c r="Z7" s="434" t="str">
        <v>In McMurdo</v>
      </c>
      <c r="AA7" s="427" t="str">
        <v>-</v>
      </c>
      <c r="AB7" s="435" t="str">
        <v>LC-130/SPoT</v>
      </c>
      <c r="AC7" s="435">
        <v>45261</v>
      </c>
      <c r="AD7" s="409" t="str">
        <v>Yes</v>
      </c>
      <c r="AE7" s="409" t="str">
        <v>In McMurdo</v>
      </c>
      <c r="AF7" s="409" t="str">
        <v>FY24 intra</v>
      </c>
      <c r="AG7" s="435" t="str">
        <v>D. Gibson</v>
      </c>
      <c r="AH7" s="435">
        <v>44477</v>
      </c>
      <c r="AI7" s="435" t="str">
        <v>I. McEwen</v>
      </c>
      <c r="AJ7" s="435">
        <v>44477</v>
      </c>
      <c r="AK7" s="409" t="str">
        <v>Bermed in McMurdo - SPOTSA</v>
      </c>
      <c r="AL7" s="9" t="str">
        <v/>
      </c>
    </row>
    <row r="8" spans="1:40" ht="17.10000000000000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9">
        <v>43845</v>
      </c>
      <c r="Q8" s="429" t="str">
        <v>In McMurdo</v>
      </c>
      <c r="R8" s="429" t="str">
        <v>-</v>
      </c>
      <c r="S8" s="431" t="str">
        <v>-</v>
      </c>
      <c r="T8" s="431" t="str">
        <v>In McMurdo</v>
      </c>
      <c r="U8" s="431" t="str">
        <v>-</v>
      </c>
      <c r="V8" s="432" t="str">
        <v>-</v>
      </c>
      <c r="W8" s="433" t="str">
        <v>In McMurdo</v>
      </c>
      <c r="X8" s="433" t="str">
        <v>-</v>
      </c>
      <c r="Y8" s="88" t="str">
        <v>-</v>
      </c>
      <c r="Z8" s="434" t="str">
        <v>In McMurdo</v>
      </c>
      <c r="AA8" s="427" t="str">
        <v>-</v>
      </c>
      <c r="AB8" s="435" t="str">
        <v>LC-130/SPoT</v>
      </c>
      <c r="AC8" s="435">
        <v>45261</v>
      </c>
      <c r="AD8" s="409" t="str">
        <v>Yes</v>
      </c>
      <c r="AE8" s="409" t="str">
        <v>In McMurdo</v>
      </c>
      <c r="AF8" s="409" t="str">
        <v>FY24 intra</v>
      </c>
      <c r="AG8" s="435" t="str">
        <v>D. Gibson</v>
      </c>
      <c r="AH8" s="435">
        <v>44477</v>
      </c>
      <c r="AI8" s="435" t="str">
        <v>I. McEwen</v>
      </c>
      <c r="AJ8" s="435">
        <v>44477</v>
      </c>
      <c r="AK8" s="409" t="str">
        <v/>
      </c>
      <c r="AL8" s="9" t="str">
        <v/>
      </c>
    </row>
    <row r="9" spans="1:40" ht="17.10000000000000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9">
        <v>43845</v>
      </c>
      <c r="Q9" s="429" t="str">
        <v>In McMurdo</v>
      </c>
      <c r="R9" s="429" t="str">
        <v>-</v>
      </c>
      <c r="S9" s="431" t="str">
        <v>-</v>
      </c>
      <c r="T9" s="431" t="str">
        <v>In McMurdo</v>
      </c>
      <c r="U9" s="431" t="str">
        <v>-</v>
      </c>
      <c r="V9" s="432" t="str">
        <v>-</v>
      </c>
      <c r="W9" s="433" t="str">
        <v>In McMurdo</v>
      </c>
      <c r="X9" s="433" t="str">
        <v>-</v>
      </c>
      <c r="Y9" s="88" t="str">
        <v>-</v>
      </c>
      <c r="Z9" s="434" t="str">
        <v>In McMurdo</v>
      </c>
      <c r="AA9" s="427" t="str">
        <v>-</v>
      </c>
      <c r="AB9" s="435" t="str">
        <v>LC-130/SPoT</v>
      </c>
      <c r="AC9" s="435">
        <v>45261</v>
      </c>
      <c r="AD9" s="409" t="str">
        <v>Yes</v>
      </c>
      <c r="AE9" s="409" t="str">
        <v>In McMurdo</v>
      </c>
      <c r="AF9" s="409" t="str">
        <v>FY24 intra</v>
      </c>
      <c r="AG9" s="435" t="str">
        <v>D. Gibson</v>
      </c>
      <c r="AH9" s="435">
        <v>44477</v>
      </c>
      <c r="AI9" s="435" t="str">
        <v>I. McEwen</v>
      </c>
      <c r="AJ9" s="435">
        <v>44477</v>
      </c>
      <c r="AK9" s="409" t="str">
        <v/>
      </c>
      <c r="AL9" s="9" t="str">
        <v/>
      </c>
    </row>
    <row r="10" spans="1:40" s="91" customFormat="1" ht="31.5"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9">
        <v>43845</v>
      </c>
      <c r="Q10" s="429" t="str">
        <v>In McMurdo</v>
      </c>
      <c r="R10" s="429" t="str">
        <v/>
      </c>
      <c r="S10" s="431" t="str">
        <v/>
      </c>
      <c r="T10" s="431" t="str">
        <v>In McMurdo</v>
      </c>
      <c r="U10" s="431" t="str">
        <v>-</v>
      </c>
      <c r="V10" s="433" t="str">
        <v>-</v>
      </c>
      <c r="W10" s="433" t="str">
        <v>In McMurdo</v>
      </c>
      <c r="X10" s="433" t="str">
        <v>-</v>
      </c>
      <c r="Y10" s="88" t="str">
        <v>-</v>
      </c>
      <c r="Z10" s="434" t="str">
        <v>In McMurdo</v>
      </c>
      <c r="AA10" s="427" t="str">
        <v>-</v>
      </c>
      <c r="AB10" s="435" t="str">
        <v>LC-130/SPoT</v>
      </c>
      <c r="AC10" s="435">
        <v>45275</v>
      </c>
      <c r="AD10" s="409" t="str">
        <v>No</v>
      </c>
      <c r="AE10" s="409" t="str">
        <v>In McMurdo</v>
      </c>
      <c r="AF10" s="409" t="str">
        <v>FY24 intra</v>
      </c>
      <c r="AG10" s="435" t="str">
        <v>D. Gibson</v>
      </c>
      <c r="AH10" s="435">
        <v>44477</v>
      </c>
      <c r="AI10" s="435" t="str">
        <v>I. McEwen</v>
      </c>
      <c r="AJ10" s="435">
        <v>44477</v>
      </c>
      <c r="AK10" s="409" t="str">
        <v>Bermed in McMurdo - SPOTSA on UNL flatrack</v>
      </c>
      <c r="AL10" s="9" t="str">
        <v/>
      </c>
      <c r="AM10" s="9"/>
      <c r="AN10" s="9"/>
    </row>
    <row r="11" spans="1:40" ht="44.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9">
        <v>43845</v>
      </c>
      <c r="Q11" s="429" t="str">
        <v>In McMurdo</v>
      </c>
      <c r="R11" s="429"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35">
        <v>44927</v>
      </c>
      <c r="AD11" s="409" t="str">
        <v>Yes</v>
      </c>
      <c r="AE11" s="409" t="str">
        <v>In McMurdo</v>
      </c>
      <c r="AF11" s="409" t="str">
        <v>FY23 intra</v>
      </c>
      <c r="AG11" s="435" t="str">
        <v>D. Gibson</v>
      </c>
      <c r="AH11" s="435">
        <v>44477</v>
      </c>
      <c r="AI11" s="435" t="str">
        <v>I. McEwen</v>
      </c>
      <c r="AJ11" s="435">
        <v>44477</v>
      </c>
      <c r="AK11" s="409" t="str">
        <v>Bermed in McMurdo - SPOTSA on UNL flatrack - overland shipment preferred due to complexities of air transport certification - can be laid on side once drained</v>
      </c>
      <c r="AL11" s="9" t="str">
        <v/>
      </c>
    </row>
    <row r="12" spans="1:40" ht="5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9">
        <v>43845</v>
      </c>
      <c r="Q12" s="429" t="str">
        <v>In McMurdo</v>
      </c>
      <c r="R12" s="429" t="str">
        <v/>
      </c>
      <c r="S12" s="431" t="str">
        <v/>
      </c>
      <c r="T12" s="431" t="str">
        <v>In McMurdo</v>
      </c>
      <c r="U12" s="431" t="str">
        <v>-</v>
      </c>
      <c r="V12" s="433" t="str">
        <v>-</v>
      </c>
      <c r="W12" s="433" t="str">
        <v>In McMurdo</v>
      </c>
      <c r="X12" s="433" t="str">
        <v>-</v>
      </c>
      <c r="Y12" s="88" t="str">
        <v>-</v>
      </c>
      <c r="Z12" s="434" t="str">
        <v>In McMurdo</v>
      </c>
      <c r="AA12" s="409" t="str">
        <v>-</v>
      </c>
      <c r="AB12" s="435" t="str">
        <v>SPoT</v>
      </c>
      <c r="AC12" s="435">
        <v>45292</v>
      </c>
      <c r="AD12" s="409" t="str">
        <v>Yes</v>
      </c>
      <c r="AE12" s="409" t="str">
        <v>In McMurdo</v>
      </c>
      <c r="AF12" s="409" t="str">
        <v>FY24 intra</v>
      </c>
      <c r="AG12" s="435" t="str">
        <v>D. Gibson</v>
      </c>
      <c r="AH12" s="435">
        <v>44477</v>
      </c>
      <c r="AI12" s="435" t="str">
        <v>I. McEwen</v>
      </c>
      <c r="AJ12" s="435">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ht="51" hidden="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96" t="str">
        <v>Already at PTH</v>
      </c>
      <c r="P14" s="428">
        <v>44193</v>
      </c>
      <c r="Q14" s="94" t="str">
        <v>Already at PTH</v>
      </c>
      <c r="R14" s="428">
        <v>44211</v>
      </c>
      <c r="S14" s="430" t="str">
        <v>Truck</v>
      </c>
      <c r="T14" s="12" t="str">
        <v>PTH - MCM</v>
      </c>
      <c r="U14" s="431" t="str">
        <v>-</v>
      </c>
      <c r="V14" s="432" t="str">
        <v>USAP Vessel</v>
      </c>
      <c r="W14" s="433" t="str">
        <v>USAP Vessel</v>
      </c>
      <c r="X14" s="433" t="str">
        <v>-</v>
      </c>
      <c r="Y14" s="100" t="str">
        <v>-</v>
      </c>
      <c r="Z14" s="434">
        <v>44598</v>
      </c>
      <c r="AA14" s="427" t="str">
        <v>-</v>
      </c>
      <c r="AB14" s="435" t="str">
        <v>LC-130/SPoT</v>
      </c>
      <c r="AC14" s="409">
        <v>44910</v>
      </c>
      <c r="AD14" s="409" t="str">
        <v>No*</v>
      </c>
      <c r="AE14" s="409" t="str">
        <v>FY22 inter</v>
      </c>
      <c r="AF14" s="409" t="str">
        <v>FY23 intra</v>
      </c>
      <c r="AG14" s="409" t="str">
        <v>D. Gibson</v>
      </c>
      <c r="AH14" s="409">
        <v>44477</v>
      </c>
      <c r="AI14" s="409" t="str">
        <v>I. McEwen</v>
      </c>
      <c r="AJ14" s="409">
        <v>44477</v>
      </c>
      <c r="AK14" s="409" t="str">
        <v>*While this shipment is not on the critical path additional ASC crane support will be required to overcome delayed arrival or sleds furnished from the South Pole inventory</v>
      </c>
      <c r="AL14" s="9" t="str">
        <v/>
      </c>
    </row>
    <row r="15" spans="1:40" ht="33.950000000000003" hidden="1">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35" t="str">
        <v>Already at PTH</v>
      </c>
      <c r="P15" s="428">
        <v>44112</v>
      </c>
      <c r="Q15" s="94" t="str">
        <v>Already at PTH</v>
      </c>
      <c r="R15" s="428">
        <v>44159</v>
      </c>
      <c r="S15" s="430" t="str">
        <v>Truck</v>
      </c>
      <c r="T15" s="12" t="str">
        <v>PTH - MCM</v>
      </c>
      <c r="U15" s="431" t="str">
        <v>-</v>
      </c>
      <c r="V15" s="432" t="str">
        <v>USAP Vessel</v>
      </c>
      <c r="W15" s="433" t="str">
        <v>USAP Vessel</v>
      </c>
      <c r="X15" s="433" t="str">
        <v>-</v>
      </c>
      <c r="Y15" s="100" t="str">
        <v>-</v>
      </c>
      <c r="Z15" s="434">
        <v>44963</v>
      </c>
      <c r="AA15" s="409" t="str">
        <v>-</v>
      </c>
      <c r="AB15" s="435" t="str">
        <v>LC-130/SPoT</v>
      </c>
      <c r="AC15" s="409">
        <v>45292</v>
      </c>
      <c r="AD15" s="409" t="str">
        <v>Yes</v>
      </c>
      <c r="AE15" s="409" t="str">
        <v>FY23 inter</v>
      </c>
      <c r="AF15" s="61" t="str">
        <v>FY24 intra</v>
      </c>
      <c r="AG15" s="61" t="str">
        <v>D. Gibson</v>
      </c>
      <c r="AH15" s="61">
        <v>44477</v>
      </c>
      <c r="AI15" s="61" t="str">
        <v>I. McEwen</v>
      </c>
      <c r="AJ15" s="409">
        <v>44477</v>
      </c>
      <c r="AK15" s="409" t="str">
        <v/>
      </c>
      <c r="AL15" s="9" t="str">
        <v/>
      </c>
    </row>
    <row r="16" spans="1:40" ht="33.950000000000003" hidden="1">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35" t="str">
        <v>Already at PTH</v>
      </c>
      <c r="P16" s="428">
        <v>44112</v>
      </c>
      <c r="Q16" s="94" t="str">
        <v>Already at PTH</v>
      </c>
      <c r="R16" s="428">
        <v>44159</v>
      </c>
      <c r="S16" s="430" t="str">
        <v>Truck</v>
      </c>
      <c r="T16" s="12" t="str">
        <v>PTH - MCM</v>
      </c>
      <c r="U16" s="431" t="str">
        <v>-</v>
      </c>
      <c r="V16" s="432" t="str">
        <v>USAP Vessel</v>
      </c>
      <c r="W16" s="433" t="str">
        <v>USAP Vessel</v>
      </c>
      <c r="X16" s="433" t="str">
        <v>-</v>
      </c>
      <c r="Y16" s="100" t="str">
        <v>-</v>
      </c>
      <c r="Z16" s="434">
        <v>44963</v>
      </c>
      <c r="AA16" s="409" t="str">
        <v>-</v>
      </c>
      <c r="AB16" s="435" t="str">
        <v>LC-130/SPoT</v>
      </c>
      <c r="AC16" s="409">
        <v>45292</v>
      </c>
      <c r="AD16" s="409" t="str">
        <v>Yes</v>
      </c>
      <c r="AE16" s="409" t="str">
        <v>FY23 inter</v>
      </c>
      <c r="AF16" s="61" t="str">
        <v>FY24 intra</v>
      </c>
      <c r="AG16" s="61" t="str">
        <v>D. Gibson</v>
      </c>
      <c r="AH16" s="61">
        <v>44477</v>
      </c>
      <c r="AI16" s="61" t="str">
        <v>I. McEwen</v>
      </c>
      <c r="AJ16" s="409">
        <v>44477</v>
      </c>
      <c r="AK16" s="409" t="str">
        <v/>
      </c>
      <c r="AL16" s="9" t="str">
        <v/>
      </c>
    </row>
    <row r="17" spans="1:40" ht="34.35" hidden="1"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35" t="str">
        <v>Already at PTH</v>
      </c>
      <c r="P17" s="428">
        <v>44041</v>
      </c>
      <c r="Q17" s="94" t="str">
        <v>Already at PTH</v>
      </c>
      <c r="R17" s="428">
        <v>44058</v>
      </c>
      <c r="S17" s="430" t="str">
        <v>Truck</v>
      </c>
      <c r="T17" s="12" t="str">
        <v>PTH - MCM</v>
      </c>
      <c r="U17" s="431" t="str">
        <v>-</v>
      </c>
      <c r="V17" s="432" t="str">
        <v>USAP Vessel</v>
      </c>
      <c r="W17" s="433" t="str">
        <v>USAP Vessel</v>
      </c>
      <c r="X17" s="433" t="str">
        <v>-</v>
      </c>
      <c r="Y17" s="100" t="str">
        <v>-</v>
      </c>
      <c r="Z17" s="434">
        <v>44963</v>
      </c>
      <c r="AA17" s="427" t="str">
        <v>-</v>
      </c>
      <c r="AB17" s="435" t="str">
        <v>LC-130/SPoT</v>
      </c>
      <c r="AC17" s="409">
        <v>45292</v>
      </c>
      <c r="AD17" s="409" t="str">
        <v>Yes</v>
      </c>
      <c r="AE17" s="409" t="str">
        <v>FY23 inter</v>
      </c>
      <c r="AF17" s="61" t="str">
        <v>FY24 intra</v>
      </c>
      <c r="AG17" s="61" t="str">
        <v>D. Gibson</v>
      </c>
      <c r="AH17" s="61">
        <v>44477</v>
      </c>
      <c r="AI17" s="61" t="str">
        <v>I. McEwen</v>
      </c>
      <c r="AJ17" s="409">
        <v>44477</v>
      </c>
      <c r="AK17" s="409" t="str">
        <v>Hose to be installed on Main Supply Hose Reel upon arrival at Pole</v>
      </c>
      <c r="AL17" s="9" t="str">
        <v/>
      </c>
    </row>
    <row r="18" spans="1:40" ht="34.35" hidden="1"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35" t="str">
        <v>Already at PTH</v>
      </c>
      <c r="P18" s="428">
        <v>44154</v>
      </c>
      <c r="Q18" s="94" t="str">
        <v>Already at PTH</v>
      </c>
      <c r="R18" s="428">
        <v>44211</v>
      </c>
      <c r="S18" s="430" t="str">
        <v>Truck</v>
      </c>
      <c r="T18" s="12" t="str">
        <v>PTH - MCM</v>
      </c>
      <c r="U18" s="431" t="str">
        <v>-</v>
      </c>
      <c r="V18" s="432" t="str">
        <v>USAP Vessel</v>
      </c>
      <c r="W18" s="433" t="str">
        <v>USAP Vessel</v>
      </c>
      <c r="X18" s="433" t="str">
        <v>-</v>
      </c>
      <c r="Y18" s="100" t="str">
        <v>-</v>
      </c>
      <c r="Z18" s="434">
        <v>44963</v>
      </c>
      <c r="AA18" s="427" t="str">
        <v>-</v>
      </c>
      <c r="AB18" s="435" t="str">
        <v>LC-130/SPoT</v>
      </c>
      <c r="AC18" s="409">
        <v>45292</v>
      </c>
      <c r="AD18" s="409" t="str">
        <v>Yes</v>
      </c>
      <c r="AE18" s="409" t="str">
        <v>FY23 inter</v>
      </c>
      <c r="AF18" s="61" t="str">
        <v>FY24 intra</v>
      </c>
      <c r="AG18" s="61" t="str">
        <v>D. Gibson</v>
      </c>
      <c r="AH18" s="61">
        <v>44477</v>
      </c>
      <c r="AI18" s="61" t="str">
        <v>I. McEwen</v>
      </c>
      <c r="AJ18" s="409">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63" t="str">
        <v/>
      </c>
      <c r="F19" s="64" t="str">
        <v/>
      </c>
      <c r="G19" s="44" t="str">
        <v>TEU=&gt;</v>
      </c>
      <c r="H19" s="63">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ht="39.75" hidden="1" customHeight="1" thickTop="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26">
        <v>12</v>
      </c>
      <c r="P20" s="443">
        <v>44503</v>
      </c>
      <c r="Q20" s="429" t="str">
        <v>UWM - PTH</v>
      </c>
      <c r="R20" s="428">
        <v>44515</v>
      </c>
      <c r="S20" s="430" t="str">
        <v xml:space="preserve"> Truck</v>
      </c>
      <c r="T20" s="440" t="str">
        <v>PTH - MCM</v>
      </c>
      <c r="U20" s="47" t="str">
        <v>-</v>
      </c>
      <c r="V20" s="432" t="str">
        <v>USAP Vessel</v>
      </c>
      <c r="W20" s="433" t="str">
        <v>USAP Vessel</v>
      </c>
      <c r="X20" s="433" t="str">
        <v>-</v>
      </c>
      <c r="Y20" s="100" t="str">
        <v>-</v>
      </c>
      <c r="Z20" s="434">
        <v>44598</v>
      </c>
      <c r="AA20" s="409" t="str">
        <v>-</v>
      </c>
      <c r="AB20" s="435" t="str">
        <v>LC-130</v>
      </c>
      <c r="AC20" s="409">
        <v>44880</v>
      </c>
      <c r="AD20" s="409" t="str">
        <v>Yes</v>
      </c>
      <c r="AE20" s="409" t="str">
        <v>FY22 inter</v>
      </c>
      <c r="AF20" s="61" t="str">
        <v>FY23 intra</v>
      </c>
      <c r="AG20" s="409" t="str">
        <v>D. Gibson</v>
      </c>
      <c r="AH20" s="61">
        <v>44477</v>
      </c>
      <c r="AI20" s="61" t="str">
        <v>I. McEwen</v>
      </c>
      <c r="AJ20" s="409">
        <v>44477</v>
      </c>
      <c r="AK20" s="61" t="str">
        <v xml:space="preserve">8' container moves with contents by LC130 or is broken down for movement by Basler. Packing in progress. </v>
      </c>
      <c r="AL20" s="9" t="str">
        <v/>
      </c>
    </row>
    <row r="21" spans="1:40" ht="47.25" hidden="1"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26">
        <v>2</v>
      </c>
      <c r="P21" s="443">
        <v>44513</v>
      </c>
      <c r="Q21" s="429" t="str">
        <v>UWM - PTH</v>
      </c>
      <c r="R21" s="428">
        <v>44515</v>
      </c>
      <c r="S21" s="430" t="str">
        <v xml:space="preserve"> Truck</v>
      </c>
      <c r="T21" s="440" t="str">
        <v>PTH - MCM</v>
      </c>
      <c r="U21" s="47" t="str">
        <v>-</v>
      </c>
      <c r="V21" s="432" t="str">
        <v>USAP Vessel</v>
      </c>
      <c r="W21" s="433" t="str">
        <v>USAP Vessel</v>
      </c>
      <c r="X21" s="433" t="str">
        <v>-</v>
      </c>
      <c r="Y21" s="100" t="str">
        <v>-</v>
      </c>
      <c r="Z21" s="434">
        <v>44598</v>
      </c>
      <c r="AA21" s="409" t="str">
        <v>-</v>
      </c>
      <c r="AB21" s="435" t="str">
        <v>LC-130/SPoT</v>
      </c>
      <c r="AC21" s="409">
        <v>44896</v>
      </c>
      <c r="AD21" s="409" t="str">
        <v>Yes</v>
      </c>
      <c r="AE21" s="409" t="str">
        <v>FY22 inter</v>
      </c>
      <c r="AF21" s="409" t="str">
        <v>FY23 intra</v>
      </c>
      <c r="AG21" s="409" t="str">
        <v>D. Gibson</v>
      </c>
      <c r="AH21" s="409">
        <v>44477</v>
      </c>
      <c r="AI21" s="409" t="str">
        <v>I. McEwen</v>
      </c>
      <c r="AJ21" s="409">
        <v>44477</v>
      </c>
      <c r="AK21" s="409" t="str">
        <v xml:space="preserve">For air shipment container contents will need to be unloaded and palletized. Container procurement delayed by shortage. Packing in progress. </v>
      </c>
      <c r="AL21" s="9" t="str">
        <v/>
      </c>
    </row>
    <row r="22" spans="1:40" ht="51" hidden="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26" t="str">
        <v>in transit</v>
      </c>
      <c r="P22" s="443">
        <v>44502</v>
      </c>
      <c r="Q22" s="429" t="str">
        <v>UWM - PTH</v>
      </c>
      <c r="R22" s="428">
        <v>44515</v>
      </c>
      <c r="S22" s="430" t="str">
        <v>Truck</v>
      </c>
      <c r="T22" s="431" t="str">
        <v>PTH - MCM</v>
      </c>
      <c r="U22" s="47" t="str">
        <v>-</v>
      </c>
      <c r="V22" s="432" t="str">
        <v>USAP Vessel</v>
      </c>
      <c r="W22" s="433" t="str">
        <v>USAP Vessel</v>
      </c>
      <c r="X22" s="433" t="str">
        <v>-</v>
      </c>
      <c r="Y22" s="100" t="str">
        <v>-</v>
      </c>
      <c r="Z22" s="434">
        <v>44598</v>
      </c>
      <c r="AA22" s="409" t="str">
        <v>-</v>
      </c>
      <c r="AB22" s="435" t="str">
        <v>LC-130/SPoT</v>
      </c>
      <c r="AC22" s="409">
        <v>44910</v>
      </c>
      <c r="AD22" s="409" t="str">
        <v>Yes</v>
      </c>
      <c r="AE22" s="409" t="str">
        <v>FY22 inter</v>
      </c>
      <c r="AF22" s="409" t="str">
        <v>FY23 intra</v>
      </c>
      <c r="AG22" s="409" t="str">
        <v>D. Gibson</v>
      </c>
      <c r="AH22" s="409">
        <v>44477</v>
      </c>
      <c r="AI22" s="409" t="str">
        <v>I. McEwen</v>
      </c>
      <c r="AJ22" s="409">
        <v>44477</v>
      </c>
      <c r="AK22" s="409" t="str">
        <v>For air shipment container contents will need to be unloaded and palletized</v>
      </c>
      <c r="AL22" s="9" t="str">
        <v/>
      </c>
    </row>
    <row r="23" spans="1:40" ht="79.5" hidden="1"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96" t="str">
        <v>in transit</v>
      </c>
      <c r="P23" s="443">
        <v>44502</v>
      </c>
      <c r="Q23" s="429" t="str">
        <v>UWM - PTH</v>
      </c>
      <c r="R23" s="428">
        <v>44515</v>
      </c>
      <c r="S23" s="430" t="str">
        <v xml:space="preserve"> Truck</v>
      </c>
      <c r="T23" s="440" t="str">
        <v>PTH - MCM</v>
      </c>
      <c r="U23" s="431" t="str">
        <v>-</v>
      </c>
      <c r="V23" s="432" t="str">
        <v>USAP Vessel</v>
      </c>
      <c r="W23" s="433" t="str">
        <v>USAP Vessel</v>
      </c>
      <c r="X23" s="433" t="str">
        <v>-</v>
      </c>
      <c r="Y23" s="100" t="str">
        <v>-</v>
      </c>
      <c r="Z23" s="434">
        <v>44598</v>
      </c>
      <c r="AA23" s="409" t="str">
        <v>-</v>
      </c>
      <c r="AB23" s="435" t="str">
        <v>LC-130/SPoT</v>
      </c>
      <c r="AC23" s="409">
        <v>44910</v>
      </c>
      <c r="AD23" s="409" t="str">
        <v>Yes*</v>
      </c>
      <c r="AE23" s="409" t="str">
        <v>FY22 inter</v>
      </c>
      <c r="AF23" s="61" t="str">
        <v>FY23 intra</v>
      </c>
      <c r="AG23" s="409" t="str">
        <v>D. Gibson</v>
      </c>
      <c r="AH23" s="61">
        <v>44477</v>
      </c>
      <c r="AI23" s="61" t="str">
        <v>I. McEwen</v>
      </c>
      <c r="AJ23" s="409">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ht="36.75" hidden="1"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26" t="str">
        <v>in transit</v>
      </c>
      <c r="P24" s="443">
        <v>44495</v>
      </c>
      <c r="Q24" s="429" t="str">
        <v>UWM - PTH</v>
      </c>
      <c r="R24" s="428">
        <v>44515</v>
      </c>
      <c r="S24" s="430" t="str">
        <v xml:space="preserve"> Truck</v>
      </c>
      <c r="T24" s="440" t="str">
        <v>PTH - MCM</v>
      </c>
      <c r="U24" s="47" t="str">
        <v>-</v>
      </c>
      <c r="V24" s="432" t="str">
        <v>USAP Vessel</v>
      </c>
      <c r="W24" s="433" t="str">
        <v>USAP Vessel</v>
      </c>
      <c r="X24" s="433" t="str">
        <v>-</v>
      </c>
      <c r="Y24" s="100" t="str">
        <v>-</v>
      </c>
      <c r="Z24" s="434">
        <v>44598</v>
      </c>
      <c r="AA24" s="409" t="str">
        <v>-</v>
      </c>
      <c r="AB24" s="435" t="str">
        <v>LC-130/SPoT</v>
      </c>
      <c r="AC24" s="409">
        <v>44927</v>
      </c>
      <c r="AD24" s="409" t="str">
        <v>Yes</v>
      </c>
      <c r="AE24" s="409" t="str">
        <v>FY22 inter</v>
      </c>
      <c r="AF24" s="61" t="str">
        <v>FY23 intra</v>
      </c>
      <c r="AG24" s="409" t="str">
        <v>D. Gibson</v>
      </c>
      <c r="AH24" s="61">
        <v>44477</v>
      </c>
      <c r="AI24" s="61" t="str">
        <v>I. McEwen</v>
      </c>
      <c r="AJ24" s="409">
        <v>44477</v>
      </c>
      <c r="AK24" s="61" t="str">
        <v>Weight from Gen 1 shipment information see picture.</v>
      </c>
      <c r="AL24" s="9" t="str">
        <v/>
      </c>
    </row>
    <row r="25" spans="1:40" ht="27.75" hidden="1"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26">
        <v>7</v>
      </c>
      <c r="P25" s="443">
        <v>44508</v>
      </c>
      <c r="Q25" s="429" t="str">
        <v>UWM - PTH</v>
      </c>
      <c r="R25" s="428">
        <v>44515</v>
      </c>
      <c r="S25" s="430" t="str">
        <v xml:space="preserve"> Truck</v>
      </c>
      <c r="T25" s="440" t="str">
        <v>PTH - MCM</v>
      </c>
      <c r="U25" s="47" t="str">
        <v>-</v>
      </c>
      <c r="V25" s="432" t="str">
        <v>USAP Vessel</v>
      </c>
      <c r="W25" s="433" t="str">
        <v>USAP Vessel</v>
      </c>
      <c r="X25" s="433" t="str">
        <v>-</v>
      </c>
      <c r="Y25" s="100" t="str">
        <v>-</v>
      </c>
      <c r="Z25" s="434">
        <v>44598</v>
      </c>
      <c r="AA25" s="409" t="str">
        <v>-</v>
      </c>
      <c r="AB25" s="435" t="str">
        <v>LC-130/SPoT</v>
      </c>
      <c r="AC25" s="409">
        <v>44927</v>
      </c>
      <c r="AD25" s="409" t="str">
        <v>Yes</v>
      </c>
      <c r="AE25" s="409" t="str">
        <v>FY22 inter</v>
      </c>
      <c r="AF25" s="61" t="str">
        <v>FY23 intra</v>
      </c>
      <c r="AG25" s="409" t="str">
        <v>D. Gibson</v>
      </c>
      <c r="AH25" s="61">
        <v>44477</v>
      </c>
      <c r="AI25" s="61" t="str">
        <v>I. McEwen</v>
      </c>
      <c r="AJ25" s="409">
        <v>44477</v>
      </c>
      <c r="AK25" s="61" t="str">
        <v xml:space="preserve">Required onsite in FS Y1 for final integration and pre-drill activities. Shrink wrap contractor rescheduled for later date. </v>
      </c>
      <c r="AL25" s="9" t="str">
        <v/>
      </c>
    </row>
    <row r="26" spans="1:40" s="13" customFormat="1" ht="68.099999999999994" hidden="1">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26">
        <v>381</v>
      </c>
      <c r="P26" s="443">
        <v>44301</v>
      </c>
      <c r="Q26" s="429" t="str">
        <v>UWM - PTH</v>
      </c>
      <c r="R26" s="428">
        <v>44682</v>
      </c>
      <c r="S26" s="430" t="str">
        <v>Truck</v>
      </c>
      <c r="T26" s="431" t="str">
        <v>PTH - CHC</v>
      </c>
      <c r="U26" s="431" t="str">
        <v>-</v>
      </c>
      <c r="V26" s="432" t="str">
        <v>ComSur</v>
      </c>
      <c r="W26" s="433" t="str">
        <v>CHC-MCM</v>
      </c>
      <c r="X26" s="433" t="str">
        <v>-</v>
      </c>
      <c r="Y26" s="426" t="str">
        <v>USAP Air</v>
      </c>
      <c r="Z26" s="434">
        <v>44866</v>
      </c>
      <c r="AA26" s="434" t="str">
        <v>-</v>
      </c>
      <c r="AB26" s="426" t="str">
        <v>LC-130</v>
      </c>
      <c r="AC26" s="444">
        <v>44896</v>
      </c>
      <c r="AD26" s="409" t="str">
        <v>Yes</v>
      </c>
      <c r="AE26" s="409" t="str">
        <v>FY23 inter</v>
      </c>
      <c r="AF26" s="65" t="str">
        <v>FY23 intra</v>
      </c>
      <c r="AG26" s="444" t="str">
        <v>D. Gibson</v>
      </c>
      <c r="AH26" s="65">
        <v>44477</v>
      </c>
      <c r="AI26" s="65" t="str">
        <v>I. McEwen</v>
      </c>
      <c r="AJ26" s="444">
        <v>44477</v>
      </c>
      <c r="AK26" s="65" t="str">
        <v>Weight estimated</v>
      </c>
      <c r="AL26" s="13" t="str">
        <v/>
      </c>
    </row>
    <row r="27" spans="1:40" ht="33.950000000000003" hidden="1">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35">
        <v>31</v>
      </c>
      <c r="P27" s="428">
        <v>45108</v>
      </c>
      <c r="Q27" s="429" t="str">
        <v>UWM - PTH</v>
      </c>
      <c r="R27" s="428">
        <v>45139</v>
      </c>
      <c r="S27" s="430" t="str">
        <v>Truck</v>
      </c>
      <c r="T27" s="431" t="str">
        <v>PTH - CHC</v>
      </c>
      <c r="U27" s="431" t="str">
        <v>-</v>
      </c>
      <c r="V27" s="432" t="str">
        <v>ComSur</v>
      </c>
      <c r="W27" s="433" t="str">
        <v>CHC-MCM</v>
      </c>
      <c r="X27" s="433" t="str">
        <v>-</v>
      </c>
      <c r="Y27" s="435" t="str">
        <v>USAP Air</v>
      </c>
      <c r="Z27" s="434">
        <v>45231</v>
      </c>
      <c r="AA27" s="409" t="str">
        <v>-</v>
      </c>
      <c r="AB27" s="435" t="str">
        <v>LC-130</v>
      </c>
      <c r="AC27" s="409">
        <v>45261</v>
      </c>
      <c r="AD27" s="409" t="str">
        <v>Yes</v>
      </c>
      <c r="AE27" s="409" t="str">
        <v>FY24 inter</v>
      </c>
      <c r="AF27" s="409" t="str">
        <v>FY24 intra</v>
      </c>
      <c r="AG27" s="409" t="str">
        <v>J. Kelley</v>
      </c>
      <c r="AH27" s="409">
        <v>44481</v>
      </c>
      <c r="AI27" s="409" t="str">
        <v>D. Tosi</v>
      </c>
      <c r="AJ27" s="409">
        <v>44481</v>
      </c>
      <c r="AK27" s="409" t="str">
        <v/>
      </c>
      <c r="AL27" s="9" t="str">
        <v/>
      </c>
    </row>
    <row r="28" spans="1:40" ht="33.75" hidden="1" customHeight="1">
      <c r="A28" s="35">
        <v>1.4</v>
      </c>
      <c r="B28" s="51" t="str">
        <v>Installation</v>
      </c>
      <c r="C28" s="21" t="str">
        <v>ICL patch cables and patch panels</v>
      </c>
      <c r="D28" s="1"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35">
        <v>61</v>
      </c>
      <c r="P28" s="428">
        <v>45078</v>
      </c>
      <c r="Q28" s="429" t="str">
        <v>UWM - PTH</v>
      </c>
      <c r="R28" s="428">
        <v>45139</v>
      </c>
      <c r="S28" s="430" t="str">
        <v>Truck</v>
      </c>
      <c r="T28" s="431" t="str">
        <v>PTH - CHC</v>
      </c>
      <c r="U28" s="431" t="str">
        <v>-</v>
      </c>
      <c r="V28" s="432" t="str">
        <v>ComSur</v>
      </c>
      <c r="W28" s="433" t="str">
        <v>CHC-MCM</v>
      </c>
      <c r="X28" s="433" t="str">
        <v>-</v>
      </c>
      <c r="Y28" s="435" t="str">
        <v>USAP Air</v>
      </c>
      <c r="Z28" s="434">
        <v>45231</v>
      </c>
      <c r="AA28" s="427" t="str">
        <v>-</v>
      </c>
      <c r="AB28" s="435" t="str">
        <v>LC-130</v>
      </c>
      <c r="AC28" s="409">
        <v>45261</v>
      </c>
      <c r="AD28" s="409" t="str">
        <v>Yes</v>
      </c>
      <c r="AE28" s="409" t="str">
        <v>FY24 inter</v>
      </c>
      <c r="AF28" s="409" t="str">
        <v>FY24 intra</v>
      </c>
      <c r="AG28" s="409" t="str">
        <v>J. Kelley</v>
      </c>
      <c r="AH28" s="409">
        <v>44481</v>
      </c>
      <c r="AI28" s="409" t="str">
        <v>D. Tosi</v>
      </c>
      <c r="AJ28" s="409">
        <v>44481</v>
      </c>
      <c r="AK28" s="409" t="str">
        <v xml:space="preserve">(*) storage in McMurdo pending low temperature test </v>
      </c>
      <c r="AL28" s="9" t="str">
        <v/>
      </c>
    </row>
    <row r="29" spans="1:40" s="27" customFormat="1" ht="33.950000000000003" hidden="1">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78">
        <v>381</v>
      </c>
      <c r="P29" s="98">
        <v>44301</v>
      </c>
      <c r="Q29" s="95" t="str">
        <v>UWM - PTH</v>
      </c>
      <c r="R29" s="99">
        <v>44682</v>
      </c>
      <c r="S29" s="430" t="str">
        <v xml:space="preserve"> Truck</v>
      </c>
      <c r="T29" s="97" t="str">
        <v>PTH - CHC</v>
      </c>
      <c r="U29" s="431" t="str">
        <v>-</v>
      </c>
      <c r="V29" s="432" t="str">
        <v>ComSur</v>
      </c>
      <c r="W29" s="79" t="str">
        <v>CHC-MCM</v>
      </c>
      <c r="X29" s="433" t="str">
        <v>-</v>
      </c>
      <c r="Y29" s="426" t="str">
        <v>USAP Air</v>
      </c>
      <c r="Z29" s="10">
        <v>44866</v>
      </c>
      <c r="AA29" s="10" t="str">
        <v>-</v>
      </c>
      <c r="AB29" s="78" t="str">
        <v xml:space="preserve">LC-130 </v>
      </c>
      <c r="AC29" s="26">
        <v>44896</v>
      </c>
      <c r="AD29" s="409" t="str">
        <v>Yes</v>
      </c>
      <c r="AE29" s="409" t="str">
        <v>FY23 inter</v>
      </c>
      <c r="AF29" s="34" t="str">
        <v>FY23 intra</v>
      </c>
      <c r="AG29" s="26" t="str">
        <v>D. Gibson</v>
      </c>
      <c r="AH29" s="66">
        <v>44477</v>
      </c>
      <c r="AI29" s="66" t="str">
        <v>I. McEwen</v>
      </c>
      <c r="AJ29" s="66">
        <v>44477</v>
      </c>
      <c r="AK29" s="66" t="str">
        <v/>
      </c>
      <c r="AL29" s="27" t="str">
        <v/>
      </c>
    </row>
    <row r="30" spans="1:40" s="27" customFormat="1" ht="33.950000000000003" hidden="1">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78">
        <v>381</v>
      </c>
      <c r="P30" s="98">
        <v>44301</v>
      </c>
      <c r="Q30" s="95" t="str">
        <v>UWM - PTH</v>
      </c>
      <c r="R30" s="99">
        <v>44682</v>
      </c>
      <c r="S30" s="430" t="str">
        <v xml:space="preserve"> Truck</v>
      </c>
      <c r="T30" s="97" t="str">
        <v>PTH - CHC</v>
      </c>
      <c r="U30" s="431" t="str">
        <v>-</v>
      </c>
      <c r="V30" s="432" t="str">
        <v>ComSur</v>
      </c>
      <c r="W30" s="79" t="str">
        <v>CHC-MCM</v>
      </c>
      <c r="X30" s="433" t="str">
        <v>-</v>
      </c>
      <c r="Y30" s="426" t="str">
        <v>USAP Air</v>
      </c>
      <c r="Z30" s="10">
        <v>44866</v>
      </c>
      <c r="AA30" s="26" t="str">
        <v>-</v>
      </c>
      <c r="AB30" s="78" t="str">
        <v>LC-130/SPoT</v>
      </c>
      <c r="AC30" s="26">
        <v>44896</v>
      </c>
      <c r="AD30" s="409" t="str">
        <v>Yes</v>
      </c>
      <c r="AE30" s="409" t="str">
        <v>FY23 inter</v>
      </c>
      <c r="AF30" s="34" t="str">
        <v>FY23 intra</v>
      </c>
      <c r="AG30" s="26" t="str">
        <v>D. Gibson</v>
      </c>
      <c r="AH30" s="66">
        <v>44477</v>
      </c>
      <c r="AI30" s="66" t="str">
        <v>I. McEwen</v>
      </c>
      <c r="AJ30" s="66">
        <v>44477</v>
      </c>
      <c r="AK30" s="66" t="str">
        <v/>
      </c>
      <c r="AL30" s="27" t="str">
        <v/>
      </c>
    </row>
    <row r="31" spans="1:40" ht="41.1" hidden="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35">
        <v>157</v>
      </c>
      <c r="P31" s="428">
        <v>44358</v>
      </c>
      <c r="Q31" s="95" t="str">
        <v>UWM - PTH</v>
      </c>
      <c r="R31" s="428">
        <v>44515</v>
      </c>
      <c r="S31" s="430" t="str">
        <v>Truck</v>
      </c>
      <c r="T31" s="12" t="str">
        <v>PTH - MCM</v>
      </c>
      <c r="U31" s="431" t="str">
        <v>-</v>
      </c>
      <c r="V31" s="39" t="str">
        <v>USAP Vessel</v>
      </c>
      <c r="W31" s="433" t="str">
        <v>USAP Vessel</v>
      </c>
      <c r="X31" s="433" t="str">
        <v>-</v>
      </c>
      <c r="Y31" s="100" t="str">
        <v>-</v>
      </c>
      <c r="Z31" s="434">
        <v>44598</v>
      </c>
      <c r="AA31" s="409" t="str">
        <v>-</v>
      </c>
      <c r="AB31" s="435" t="str">
        <v>LC-130/SPoT</v>
      </c>
      <c r="AC31" s="409">
        <v>45261</v>
      </c>
      <c r="AD31" s="409" t="str">
        <v>Yes</v>
      </c>
      <c r="AE31" s="409" t="str">
        <v>FY22 inter</v>
      </c>
      <c r="AF31" s="409" t="str">
        <v>FY24 intra</v>
      </c>
      <c r="AG31" s="409" t="str">
        <v>D. Gibson</v>
      </c>
      <c r="AH31" s="409">
        <v>44477</v>
      </c>
      <c r="AI31" s="409" t="str">
        <v>I. McEwen</v>
      </c>
      <c r="AJ31" s="409">
        <v>44477</v>
      </c>
      <c r="AK31" s="409" t="str">
        <v/>
      </c>
      <c r="AL31" s="9" t="str">
        <v/>
      </c>
    </row>
    <row r="32" spans="1:40" ht="33.950000000000003" hidden="1">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35">
        <v>349</v>
      </c>
      <c r="P32" s="443">
        <v>44531</v>
      </c>
      <c r="Q32" s="429" t="str">
        <v>UWM - PTH</v>
      </c>
      <c r="R32" s="428">
        <v>44880</v>
      </c>
      <c r="S32" s="430" t="str">
        <v>Truck</v>
      </c>
      <c r="T32" s="431" t="str">
        <v>PTH - MCM</v>
      </c>
      <c r="U32" s="431" t="str">
        <v>-</v>
      </c>
      <c r="V32" s="432" t="str">
        <v>USAP Vessel</v>
      </c>
      <c r="W32" s="433" t="str">
        <v>USAP Vessel</v>
      </c>
      <c r="X32" s="433" t="str">
        <v>-</v>
      </c>
      <c r="Y32" s="435" t="str">
        <v>-</v>
      </c>
      <c r="Z32" s="434">
        <v>44963</v>
      </c>
      <c r="AA32" s="409" t="str">
        <v>-</v>
      </c>
      <c r="AB32" s="435" t="str">
        <v>LC-130/SPoT</v>
      </c>
      <c r="AC32" s="409">
        <v>45323</v>
      </c>
      <c r="AD32" s="409" t="str">
        <v>No</v>
      </c>
      <c r="AE32" s="409" t="str">
        <v>FY23 inter</v>
      </c>
      <c r="AF32" s="409" t="str">
        <v>FY24 intra</v>
      </c>
      <c r="AG32" s="409" t="str">
        <v>D. Gibson</v>
      </c>
      <c r="AH32" s="409">
        <v>44477</v>
      </c>
      <c r="AI32" s="409" t="str">
        <v>I. McEwen</v>
      </c>
      <c r="AJ32" s="409">
        <v>44477</v>
      </c>
      <c r="AK32" s="409" t="str">
        <v>Weight and cube used from Gen 1 shipping label still on bull wheel.</v>
      </c>
      <c r="AL32" s="9" t="str">
        <v/>
      </c>
    </row>
    <row r="33" spans="1:38" ht="33.950000000000003" hidden="1">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35">
        <v>31</v>
      </c>
      <c r="P33" s="443">
        <v>44849</v>
      </c>
      <c r="Q33" s="429" t="str">
        <v>UWM - PTH</v>
      </c>
      <c r="R33" s="428">
        <v>44880</v>
      </c>
      <c r="S33" s="430" t="str">
        <v>Truck</v>
      </c>
      <c r="T33" s="431" t="str">
        <v>PTH - MCM</v>
      </c>
      <c r="U33" s="431" t="str">
        <v>-</v>
      </c>
      <c r="V33" s="432" t="str">
        <v>USAP Vessel</v>
      </c>
      <c r="W33" s="433" t="str">
        <v>USAP Vessel</v>
      </c>
      <c r="X33" s="433" t="str">
        <v>-</v>
      </c>
      <c r="Y33" s="435" t="str">
        <v>-</v>
      </c>
      <c r="Z33" s="434">
        <v>44963</v>
      </c>
      <c r="AA33" s="409" t="str">
        <v>-</v>
      </c>
      <c r="AB33" s="435" t="str">
        <v>LC-130/SPoT</v>
      </c>
      <c r="AC33" s="409">
        <v>45275</v>
      </c>
      <c r="AD33" s="409" t="str">
        <v>Yes</v>
      </c>
      <c r="AE33" s="409" t="str">
        <v>FY23 inter</v>
      </c>
      <c r="AF33" s="409" t="str">
        <v>FY24 intra</v>
      </c>
      <c r="AG33" s="409" t="str">
        <v>D. Gibson</v>
      </c>
      <c r="AH33" s="409">
        <v>44477</v>
      </c>
      <c r="AI33" s="409" t="str">
        <v>I. McEwen</v>
      </c>
      <c r="AJ33" s="409">
        <v>44477</v>
      </c>
      <c r="AK33" s="409" t="str">
        <v>Required onsite in FW YR 2 for integration - recent addition, still in development</v>
      </c>
      <c r="AL33" s="9" t="str">
        <v/>
      </c>
    </row>
    <row r="34" spans="1:38" ht="61.5" hidden="1"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35">
        <v>117</v>
      </c>
      <c r="P34" s="443">
        <v>44763</v>
      </c>
      <c r="Q34" s="429" t="str">
        <v>UWM - PTH</v>
      </c>
      <c r="R34" s="428">
        <v>44880</v>
      </c>
      <c r="S34" s="431" t="str">
        <v>Truck</v>
      </c>
      <c r="T34" s="431" t="str">
        <v>PTH - MCM</v>
      </c>
      <c r="U34" s="431" t="str">
        <v>-</v>
      </c>
      <c r="V34" s="433" t="str">
        <v>USAP Vessel</v>
      </c>
      <c r="W34" s="433" t="str">
        <v>USAP Vessel</v>
      </c>
      <c r="X34" s="433" t="str">
        <v>-</v>
      </c>
      <c r="Y34" s="426" t="str">
        <v>-</v>
      </c>
      <c r="Z34" s="434">
        <v>44963</v>
      </c>
      <c r="AA34" s="409" t="str">
        <v>-</v>
      </c>
      <c r="AB34" s="435" t="str">
        <v>LC-130/SPoT</v>
      </c>
      <c r="AC34" s="409">
        <v>45261</v>
      </c>
      <c r="AD34" s="409" t="str">
        <v>Yes</v>
      </c>
      <c r="AE34" s="409" t="str">
        <v>FY23 inter</v>
      </c>
      <c r="AF34" s="61" t="str">
        <v>FY24 intra</v>
      </c>
      <c r="AG34" s="409" t="str">
        <v>D. Gibson</v>
      </c>
      <c r="AH34" s="61">
        <v>44477</v>
      </c>
      <c r="AI34" s="61" t="str">
        <v>I. McEwen</v>
      </c>
      <c r="AJ34" s="409">
        <v>44477</v>
      </c>
      <c r="AK34" s="61" t="str">
        <v>Sensor Handling Facility construction scheduled to begin mid-December FY24</v>
      </c>
      <c r="AL34" s="9" t="str">
        <v/>
      </c>
    </row>
    <row r="35" spans="1:38" ht="23.25" hidden="1" customHeight="1">
      <c r="A35" s="25">
        <v>1.2</v>
      </c>
      <c r="B35" s="48" t="str">
        <v>Drill</v>
      </c>
      <c r="C35" s="1" t="str">
        <v xml:space="preserve">Spare Combo cable </v>
      </c>
      <c r="D35" s="3"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35">
        <v>31</v>
      </c>
      <c r="P35" s="428">
        <v>44849</v>
      </c>
      <c r="Q35" s="429" t="str">
        <v>UWM - PTH</v>
      </c>
      <c r="R35" s="428">
        <v>44880</v>
      </c>
      <c r="S35" s="431" t="str">
        <v>Truck</v>
      </c>
      <c r="T35" s="431" t="str">
        <v>PTH - MCM</v>
      </c>
      <c r="U35" s="431" t="str">
        <v>-</v>
      </c>
      <c r="V35" s="433" t="str">
        <v>USAP Vessel</v>
      </c>
      <c r="W35" s="433" t="str">
        <v>USAP Vessel</v>
      </c>
      <c r="X35" s="433" t="str">
        <v>-</v>
      </c>
      <c r="Y35" s="426" t="str">
        <v>-</v>
      </c>
      <c r="Z35" s="434">
        <v>45328</v>
      </c>
      <c r="AA35" s="409" t="str">
        <v>-</v>
      </c>
      <c r="AB35" s="435" t="str">
        <v>LC-130/SPoT</v>
      </c>
      <c r="AC35" s="409">
        <v>45334</v>
      </c>
      <c r="AD35" s="409" t="str">
        <v>No</v>
      </c>
      <c r="AE35" s="409" t="str">
        <v>FY24 inter</v>
      </c>
      <c r="AF35" s="409" t="str">
        <v>FY24 intra</v>
      </c>
      <c r="AG35" s="409" t="str">
        <v>D. Gibson</v>
      </c>
      <c r="AH35" s="409">
        <v>44477</v>
      </c>
      <c r="AI35" s="409" t="str">
        <v>I. McEwen</v>
      </c>
      <c r="AJ35" s="409">
        <v>44477</v>
      </c>
      <c r="AK35" s="409" t="str">
        <v>Spare required for drill season</v>
      </c>
      <c r="AL35" s="9" t="str">
        <v/>
      </c>
    </row>
    <row r="36" spans="1:38" ht="26.45" hidden="1" customHeight="1">
      <c r="A36" s="25">
        <v>1.2</v>
      </c>
      <c r="B36" s="49" t="str">
        <v>Drill</v>
      </c>
      <c r="C36" s="3" t="str">
        <v>Spare Drill Cable</v>
      </c>
      <c r="D36" s="3"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35">
        <v>31</v>
      </c>
      <c r="P36" s="428">
        <v>44849</v>
      </c>
      <c r="Q36" s="429" t="str">
        <v>UWM - PTH</v>
      </c>
      <c r="R36" s="428">
        <v>44880</v>
      </c>
      <c r="S36" s="431" t="str">
        <v>Truck</v>
      </c>
      <c r="T36" s="431" t="str">
        <v>PTH - MCM</v>
      </c>
      <c r="U36" s="431" t="str">
        <v>-</v>
      </c>
      <c r="V36" s="433" t="str">
        <v>USAP Vessel</v>
      </c>
      <c r="W36" s="433" t="str">
        <v>USAP Vessel</v>
      </c>
      <c r="X36" s="433" t="str">
        <v>-</v>
      </c>
      <c r="Y36" s="426" t="str">
        <v>-</v>
      </c>
      <c r="Z36" s="434">
        <v>45328</v>
      </c>
      <c r="AA36" s="409" t="str">
        <v>-</v>
      </c>
      <c r="AB36" s="435" t="str">
        <v>LC-130/SPoT</v>
      </c>
      <c r="AC36" s="409">
        <v>45334</v>
      </c>
      <c r="AD36" s="409" t="str">
        <v>No</v>
      </c>
      <c r="AE36" s="409" t="str">
        <v>FY24 inter</v>
      </c>
      <c r="AF36" s="409" t="str">
        <v>FY24 intra</v>
      </c>
      <c r="AG36" s="409" t="str">
        <v>D. Gibson</v>
      </c>
      <c r="AH36" s="409">
        <v>44477</v>
      </c>
      <c r="AI36" s="409" t="str">
        <v>I. McEwen</v>
      </c>
      <c r="AJ36" s="409">
        <v>44477</v>
      </c>
      <c r="AK36" s="409" t="str">
        <v>Spare required for drill season</v>
      </c>
      <c r="AL36" s="9" t="str">
        <v/>
      </c>
    </row>
    <row r="37" spans="1:38" ht="33.950000000000003" hidden="1">
      <c r="A37" s="25">
        <v>1.2</v>
      </c>
      <c r="B37" s="48" t="str">
        <v>Drill</v>
      </c>
      <c r="C37" s="3" t="str">
        <v>Computing/controls components</v>
      </c>
      <c r="D37" s="3"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35">
        <v>31</v>
      </c>
      <c r="P37" s="443">
        <v>45108</v>
      </c>
      <c r="Q37" s="429" t="str">
        <v>UWM - PTH</v>
      </c>
      <c r="R37" s="428">
        <v>45139</v>
      </c>
      <c r="S37" s="430" t="str">
        <v>Truck</v>
      </c>
      <c r="T37" s="431" t="str">
        <v>PTH - CHC</v>
      </c>
      <c r="U37" s="431" t="str">
        <v>-</v>
      </c>
      <c r="V37" s="432" t="str">
        <v>ComSur</v>
      </c>
      <c r="W37" s="433" t="str">
        <v>CHC-MCM</v>
      </c>
      <c r="X37" s="433" t="str">
        <v>-</v>
      </c>
      <c r="Y37" s="435" t="str">
        <v>USAP Air</v>
      </c>
      <c r="Z37" s="434">
        <v>45231</v>
      </c>
      <c r="AA37" s="409" t="str">
        <v>-</v>
      </c>
      <c r="AB37" s="435" t="str">
        <v>LC-130</v>
      </c>
      <c r="AC37" s="409">
        <v>45245</v>
      </c>
      <c r="AD37" s="409" t="str">
        <v>Yes</v>
      </c>
      <c r="AE37" s="409" t="str">
        <v>FY24 inter</v>
      </c>
      <c r="AF37" s="409" t="str">
        <v>FY24 intra</v>
      </c>
      <c r="AG37" s="409" t="str">
        <v>D. Gibson</v>
      </c>
      <c r="AH37" s="409">
        <v>44477</v>
      </c>
      <c r="AI37" s="409" t="str">
        <v>I. McEwen</v>
      </c>
      <c r="AJ37" s="409">
        <v>44477</v>
      </c>
      <c r="AK37" s="409" t="str">
        <v>Required onsite in FW YR 2 to support controls system tasking</v>
      </c>
      <c r="AL37" s="9" t="str">
        <v/>
      </c>
    </row>
    <row r="38" spans="1:38" ht="33.950000000000003" hidden="1">
      <c r="A38" s="25">
        <v>1.2</v>
      </c>
      <c r="B38" s="48" t="str">
        <v>Drill</v>
      </c>
      <c r="C38" s="3" t="str">
        <v>Driller resupply/refit components -  8'  Container</v>
      </c>
      <c r="D38" s="3"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35">
        <v>31</v>
      </c>
      <c r="P38" s="443">
        <v>45108</v>
      </c>
      <c r="Q38" s="429" t="str">
        <v>UWM - PTH</v>
      </c>
      <c r="R38" s="428">
        <v>45139</v>
      </c>
      <c r="S38" s="430" t="str">
        <v>Truck</v>
      </c>
      <c r="T38" s="431" t="str">
        <v>PTH - CHC</v>
      </c>
      <c r="U38" s="431" t="str">
        <v>-</v>
      </c>
      <c r="V38" s="432" t="str">
        <v>ComSur</v>
      </c>
      <c r="W38" s="433" t="str">
        <v>CHC-MCM</v>
      </c>
      <c r="X38" s="433" t="str">
        <v>-</v>
      </c>
      <c r="Y38" s="435" t="str">
        <v>USAP Air</v>
      </c>
      <c r="Z38" s="434">
        <v>45231</v>
      </c>
      <c r="AA38" s="409" t="str">
        <v>-</v>
      </c>
      <c r="AB38" s="435" t="str">
        <v>LC-130</v>
      </c>
      <c r="AC38" s="409">
        <v>45245</v>
      </c>
      <c r="AD38" s="409" t="str">
        <v>Yes</v>
      </c>
      <c r="AE38" s="409" t="str">
        <v>FY24 inter</v>
      </c>
      <c r="AF38" s="409" t="str">
        <v>FY24 intra</v>
      </c>
      <c r="AG38" s="409" t="str">
        <v>D. Gibson</v>
      </c>
      <c r="AH38" s="409">
        <v>44477</v>
      </c>
      <c r="AI38" s="409" t="str">
        <v>I. McEwen</v>
      </c>
      <c r="AJ38" s="409">
        <v>44477</v>
      </c>
      <c r="AK38" s="409" t="str">
        <v>Items identifed in prior field season - 8' container moves with contents overland or by air</v>
      </c>
      <c r="AL38" s="9" t="str">
        <v/>
      </c>
    </row>
    <row r="39" spans="1:38" ht="17.100000000000001" hidden="1">
      <c r="A39" s="25">
        <v>1.2</v>
      </c>
      <c r="B39" s="48" t="str">
        <v>Drill</v>
      </c>
      <c r="C39" s="3" t="str">
        <v>Drill refit components</v>
      </c>
      <c r="D39" s="3"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35">
        <v>31</v>
      </c>
      <c r="P39" s="428">
        <v>45108</v>
      </c>
      <c r="Q39" s="429" t="str">
        <v>UWM - PTH</v>
      </c>
      <c r="R39" s="428">
        <v>45139</v>
      </c>
      <c r="S39" s="431" t="str">
        <v>Truck</v>
      </c>
      <c r="T39" s="431" t="str">
        <v>PTH - CHC</v>
      </c>
      <c r="U39" s="431" t="str">
        <v>-</v>
      </c>
      <c r="V39" s="433" t="str">
        <v>Comsur</v>
      </c>
      <c r="W39" s="433" t="str">
        <v>CHC-MCM</v>
      </c>
      <c r="X39" s="433" t="str">
        <v>-</v>
      </c>
      <c r="Y39" s="435" t="str">
        <v>USAP Air</v>
      </c>
      <c r="Z39" s="434">
        <v>45231</v>
      </c>
      <c r="AA39" s="427" t="str">
        <v>-</v>
      </c>
      <c r="AB39" s="435" t="str">
        <v>LC-130</v>
      </c>
      <c r="AC39" s="409">
        <v>45245</v>
      </c>
      <c r="AD39" s="409" t="str">
        <v>Yes</v>
      </c>
      <c r="AE39" s="409" t="str">
        <v>FY24 inter</v>
      </c>
      <c r="AF39" s="409" t="str">
        <v>FY24 intra</v>
      </c>
      <c r="AG39" s="409" t="str">
        <v>D. Gibson</v>
      </c>
      <c r="AH39" s="409">
        <v>44477</v>
      </c>
      <c r="AI39" s="409" t="str">
        <v>I. McEwen</v>
      </c>
      <c r="AJ39" s="409">
        <v>44477</v>
      </c>
      <c r="AK39" s="409" t="str">
        <v>Items identifed in prior field season</v>
      </c>
      <c r="AL39" s="9" t="str">
        <v/>
      </c>
    </row>
    <row r="40" spans="1:38" ht="23.25" hidden="1" customHeight="1">
      <c r="A40" s="25">
        <v>1.2</v>
      </c>
      <c r="B40" s="48" t="str">
        <v>Drill</v>
      </c>
      <c r="C40" s="18" t="str">
        <v>Drill Heads DNF - X</v>
      </c>
      <c r="D40" s="496"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35">
        <v>440</v>
      </c>
      <c r="P40" s="428">
        <v>44440</v>
      </c>
      <c r="Q40" s="429" t="str">
        <v>UWM - PTH</v>
      </c>
      <c r="R40" s="428">
        <v>44880</v>
      </c>
      <c r="S40" s="431" t="str">
        <v>Truck</v>
      </c>
      <c r="T40" s="431" t="str">
        <v>PTH - MCM</v>
      </c>
      <c r="U40" s="431" t="str">
        <v>-</v>
      </c>
      <c r="V40" s="433" t="str">
        <v>USAP Vessel</v>
      </c>
      <c r="W40" s="433" t="str">
        <v>USAP Vessel</v>
      </c>
      <c r="X40" s="433" t="str">
        <v>-</v>
      </c>
      <c r="Y40" s="426" t="str">
        <v>-</v>
      </c>
      <c r="Z40" s="434">
        <v>44963</v>
      </c>
      <c r="AA40" s="427" t="str">
        <v>-</v>
      </c>
      <c r="AB40" s="435" t="str">
        <v>LC-130</v>
      </c>
      <c r="AC40" s="409">
        <v>44969</v>
      </c>
      <c r="AD40" s="409" t="str">
        <v>Yes</v>
      </c>
      <c r="AE40" s="409" t="str">
        <v>FY23 inter</v>
      </c>
      <c r="AF40" s="409" t="str">
        <v>FY23 intra</v>
      </c>
      <c r="AG40" s="409" t="str">
        <v>D. Gibson</v>
      </c>
      <c r="AH40" s="409">
        <v>44477</v>
      </c>
      <c r="AI40" s="409" t="str">
        <v>I. McEwen</v>
      </c>
      <c r="AJ40" s="409">
        <v>44477</v>
      </c>
      <c r="AK40" s="409" t="str">
        <v>One drill head shipped one year early for ull system wet-test</v>
      </c>
      <c r="AL40" s="9" t="str">
        <v/>
      </c>
    </row>
    <row r="41" spans="1:38" ht="23.25" hidden="1" customHeight="1">
      <c r="A41" s="25">
        <v>1.2</v>
      </c>
      <c r="B41" s="48" t="str">
        <v>Drill</v>
      </c>
      <c r="C41" s="18" t="str">
        <v>Drill Heads DNF - Y</v>
      </c>
      <c r="D41" s="496"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35">
        <v>805</v>
      </c>
      <c r="P41" s="428">
        <v>44440</v>
      </c>
      <c r="Q41" s="429" t="str">
        <v>UWM - PTH</v>
      </c>
      <c r="R41" s="428">
        <v>45245</v>
      </c>
      <c r="S41" s="431" t="str">
        <v>Truck</v>
      </c>
      <c r="T41" s="431" t="str">
        <v>PTH - MCM</v>
      </c>
      <c r="U41" s="431" t="str">
        <v>-</v>
      </c>
      <c r="V41" s="433" t="str">
        <v>USAP Vessel</v>
      </c>
      <c r="W41" s="433" t="str">
        <v>USAP Vessel</v>
      </c>
      <c r="X41" s="433" t="str">
        <v>-</v>
      </c>
      <c r="Y41" s="426" t="str">
        <v>-</v>
      </c>
      <c r="Z41" s="434">
        <v>45328</v>
      </c>
      <c r="AA41" s="427" t="str">
        <v>-</v>
      </c>
      <c r="AB41" s="435" t="str">
        <v>LC-130</v>
      </c>
      <c r="AC41" s="409">
        <v>45334</v>
      </c>
      <c r="AD41" s="409" t="str">
        <v>Yes</v>
      </c>
      <c r="AE41" s="409" t="str">
        <v>FY24 inter</v>
      </c>
      <c r="AF41" s="409" t="str">
        <v>FY24 intra</v>
      </c>
      <c r="AG41" s="409" t="str">
        <v>D. Gibson</v>
      </c>
      <c r="AH41" s="409">
        <v>44477</v>
      </c>
      <c r="AI41" s="409" t="str">
        <v>I. McEwen</v>
      </c>
      <c r="AJ41" s="409">
        <v>44477</v>
      </c>
      <c r="AK41" s="409" t="str">
        <v/>
      </c>
      <c r="AL41" s="9" t="str">
        <v/>
      </c>
    </row>
    <row r="42" spans="1:38" ht="22.5" hidden="1" customHeight="1">
      <c r="A42" s="25">
        <v>1.2</v>
      </c>
      <c r="B42" s="48" t="str">
        <v>Drill</v>
      </c>
      <c r="C42" s="18" t="str">
        <v>Drill Heads DNF - R</v>
      </c>
      <c r="D42" s="496"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35">
        <v>805</v>
      </c>
      <c r="P42" s="428">
        <v>44440</v>
      </c>
      <c r="Q42" s="429" t="str">
        <v>UWM - PTH</v>
      </c>
      <c r="R42" s="428">
        <v>45245</v>
      </c>
      <c r="S42" s="431" t="str">
        <v>Truck</v>
      </c>
      <c r="T42" s="431" t="str">
        <v>PTH - MCM</v>
      </c>
      <c r="U42" s="431" t="str">
        <v>-</v>
      </c>
      <c r="V42" s="433" t="str">
        <v>USAP Vessel</v>
      </c>
      <c r="W42" s="433" t="str">
        <v>USAP Vessel</v>
      </c>
      <c r="X42" s="433" t="str">
        <v>-</v>
      </c>
      <c r="Y42" s="426" t="str">
        <v>-</v>
      </c>
      <c r="Z42" s="434">
        <v>45328</v>
      </c>
      <c r="AA42" s="427" t="str">
        <v>-</v>
      </c>
      <c r="AB42" s="435" t="str">
        <v>LC-130</v>
      </c>
      <c r="AC42" s="409">
        <v>45334</v>
      </c>
      <c r="AD42" s="409" t="str">
        <v>Yes</v>
      </c>
      <c r="AE42" s="409" t="str">
        <v>FY24 inter</v>
      </c>
      <c r="AF42" s="409" t="str">
        <v>FY24 intra</v>
      </c>
      <c r="AG42" s="409" t="str">
        <v>D. Gibson</v>
      </c>
      <c r="AH42" s="409">
        <v>44477</v>
      </c>
      <c r="AI42" s="409" t="str">
        <v>I. McEwen</v>
      </c>
      <c r="AJ42" s="409">
        <v>44477</v>
      </c>
      <c r="AK42" s="409" t="str">
        <v/>
      </c>
      <c r="AL42" s="9" t="str">
        <v/>
      </c>
    </row>
    <row r="43" spans="1:38" ht="34.5" hidden="1" customHeight="1">
      <c r="A43" s="25">
        <v>1.2</v>
      </c>
      <c r="B43" s="48" t="str">
        <v>Drill</v>
      </c>
      <c r="C43" s="3" t="str">
        <v>Computing/controls components</v>
      </c>
      <c r="D43" s="496" t="str">
        <v>Computing and controls equipment (Sensor, motor drives and other sensitive electronics) - Do Not Freeze</v>
      </c>
      <c r="E43" s="4">
        <v>96</v>
      </c>
      <c r="F43" s="4">
        <v>48</v>
      </c>
      <c r="G43" s="4">
        <v>48</v>
      </c>
      <c r="H43" s="23">
        <v>1</v>
      </c>
      <c r="I43" s="22">
        <v>128</v>
      </c>
      <c r="J43" s="22">
        <v>3000</v>
      </c>
      <c r="K43" s="4">
        <v>3000</v>
      </c>
      <c r="L43" s="23" t="str">
        <v>estimated</v>
      </c>
      <c r="M43" s="6" t="str">
        <v>DNF</v>
      </c>
      <c r="N43" s="427" t="str">
        <v xml:space="preserve"> U. Wisc. Madison</v>
      </c>
      <c r="O43" s="435">
        <v>31</v>
      </c>
      <c r="P43" s="443">
        <v>45474</v>
      </c>
      <c r="Q43" s="429" t="str">
        <v>UWM - PTH</v>
      </c>
      <c r="R43" s="428">
        <v>45505</v>
      </c>
      <c r="S43" s="430" t="str">
        <v>Truck</v>
      </c>
      <c r="T43" s="431" t="str">
        <v>PTH - CHC</v>
      </c>
      <c r="U43" s="431" t="str">
        <v>-</v>
      </c>
      <c r="V43" s="432" t="str">
        <v>ComSur</v>
      </c>
      <c r="W43" s="433" t="str">
        <v>CHC-MCM</v>
      </c>
      <c r="X43" s="433" t="str">
        <v>-</v>
      </c>
      <c r="Y43" s="435" t="str">
        <v>USAP Air</v>
      </c>
      <c r="Z43" s="434">
        <v>45597</v>
      </c>
      <c r="AA43" s="409" t="str">
        <v>-</v>
      </c>
      <c r="AB43" s="435" t="str">
        <v>LC-130</v>
      </c>
      <c r="AC43" s="409">
        <v>45611</v>
      </c>
      <c r="AD43" s="409" t="str">
        <v>Yes</v>
      </c>
      <c r="AE43" s="409" t="str">
        <v>FY25 inter</v>
      </c>
      <c r="AF43" s="409" t="str">
        <v>FY25 intra</v>
      </c>
      <c r="AG43" s="409" t="str">
        <v>D. Gibson</v>
      </c>
      <c r="AH43" s="409">
        <v>44477</v>
      </c>
      <c r="AI43" s="409" t="str">
        <v>I. McEwen</v>
      </c>
      <c r="AJ43" s="409">
        <v>44477</v>
      </c>
      <c r="AK43" s="409" t="str">
        <v/>
      </c>
      <c r="AL43" s="9" t="str">
        <v/>
      </c>
    </row>
    <row r="44" spans="1:38" ht="21.75" hidden="1" customHeight="1">
      <c r="A44" s="67">
        <v>1.2</v>
      </c>
      <c r="B44" s="68" t="str">
        <v>Installation</v>
      </c>
      <c r="C44" s="19" t="str">
        <v xml:space="preserve">Installation Hardware  87-93 </v>
      </c>
      <c r="D44" s="19"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35">
        <v>123</v>
      </c>
      <c r="P44" s="443">
        <v>45122</v>
      </c>
      <c r="Q44" s="429" t="str">
        <v>UWM - PTH</v>
      </c>
      <c r="R44" s="428">
        <v>45245</v>
      </c>
      <c r="S44" s="430" t="str">
        <v>Truck</v>
      </c>
      <c r="T44" s="431" t="str">
        <v>PTH - MCM</v>
      </c>
      <c r="U44" s="431" t="str">
        <v>-</v>
      </c>
      <c r="V44" s="433" t="str">
        <v>USAP Vessel</v>
      </c>
      <c r="W44" s="433" t="str">
        <v>USAP Vessel</v>
      </c>
      <c r="X44" s="433" t="str">
        <v>-</v>
      </c>
      <c r="Y44" s="426" t="str">
        <v>-</v>
      </c>
      <c r="Z44" s="434">
        <v>45328</v>
      </c>
      <c r="AA44" s="427" t="str">
        <v>-</v>
      </c>
      <c r="AB44" s="435" t="str">
        <v>LC-130</v>
      </c>
      <c r="AC44" s="409">
        <v>45337</v>
      </c>
      <c r="AD44" s="409" t="str">
        <v>Yes</v>
      </c>
      <c r="AE44" s="409" t="str">
        <v>FY24 inter</v>
      </c>
      <c r="AF44" s="409" t="str">
        <v>FY24 intra</v>
      </c>
      <c r="AG44" s="409" t="str">
        <v>D. Tosi</v>
      </c>
      <c r="AH44" s="409">
        <v>44461</v>
      </c>
      <c r="AI44" s="409" t="str">
        <v>I. McEwen</v>
      </c>
      <c r="AJ44" s="409">
        <v>44461</v>
      </c>
      <c r="AK44" s="409" t="str">
        <v/>
      </c>
      <c r="AL44" s="9" t="str">
        <v/>
      </c>
    </row>
    <row r="45" spans="1:38" ht="32.450000000000003" hidden="1"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35">
        <v>123</v>
      </c>
      <c r="P45" s="443">
        <v>45122</v>
      </c>
      <c r="Q45" s="429" t="str">
        <v>UWM - PTH</v>
      </c>
      <c r="R45" s="428">
        <v>45245</v>
      </c>
      <c r="S45" s="430" t="str">
        <v>Truck</v>
      </c>
      <c r="T45" s="431" t="str">
        <v>PTH - MCM</v>
      </c>
      <c r="U45" s="431" t="str">
        <v>-</v>
      </c>
      <c r="V45" s="433" t="str">
        <v>USAP Vessel</v>
      </c>
      <c r="W45" s="433" t="str">
        <v>USAP Vessel</v>
      </c>
      <c r="X45" s="433" t="str">
        <v>-</v>
      </c>
      <c r="Y45" s="426" t="str">
        <v>-</v>
      </c>
      <c r="Z45" s="434">
        <v>45328</v>
      </c>
      <c r="AA45" s="427" t="str">
        <v>-</v>
      </c>
      <c r="AB45" s="435" t="str">
        <v>LC-130</v>
      </c>
      <c r="AC45" s="409">
        <v>45337</v>
      </c>
      <c r="AD45" s="409" t="str">
        <v>Yes</v>
      </c>
      <c r="AE45" s="409" t="str">
        <v>FY24 inter</v>
      </c>
      <c r="AF45" s="409" t="str">
        <v>FY24 intra</v>
      </c>
      <c r="AG45" s="409" t="str">
        <v>D. Tosi</v>
      </c>
      <c r="AH45" s="409">
        <v>44461</v>
      </c>
      <c r="AI45" s="409" t="str">
        <v>I. McEwen</v>
      </c>
      <c r="AJ45" s="409">
        <v>44461</v>
      </c>
      <c r="AK45" s="409" t="str">
        <v/>
      </c>
      <c r="AL45" s="9" t="str">
        <v/>
      </c>
    </row>
    <row r="46" spans="1:38" ht="33.950000000000003" hidden="1">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35">
        <v>244</v>
      </c>
      <c r="P46" s="443">
        <v>44895</v>
      </c>
      <c r="Q46" s="429" t="str">
        <v>UWM - PTH</v>
      </c>
      <c r="R46" s="428">
        <v>45139</v>
      </c>
      <c r="S46" s="430" t="str">
        <v>Truck</v>
      </c>
      <c r="T46" s="431" t="str">
        <v>PTH - CHC</v>
      </c>
      <c r="U46" s="431" t="str">
        <v>-</v>
      </c>
      <c r="V46" s="433" t="str">
        <v>ComSur</v>
      </c>
      <c r="W46" s="433" t="str">
        <v>CHC-MCM</v>
      </c>
      <c r="X46" s="433" t="str">
        <v>-</v>
      </c>
      <c r="Y46" s="435" t="str">
        <v>USAP Air</v>
      </c>
      <c r="Z46" s="434">
        <v>45231</v>
      </c>
      <c r="AA46" s="409" t="str">
        <v>-</v>
      </c>
      <c r="AB46" s="435" t="str">
        <v>LC-130</v>
      </c>
      <c r="AC46" s="409">
        <v>45275</v>
      </c>
      <c r="AD46" s="409" t="str">
        <v>Yes</v>
      </c>
      <c r="AE46" s="409" t="str">
        <v>FY24 inter</v>
      </c>
      <c r="AF46" s="409" t="str">
        <v>FY24 intra</v>
      </c>
      <c r="AG46" s="409" t="str">
        <v>D. Williams</v>
      </c>
      <c r="AH46" s="409">
        <v>44482</v>
      </c>
      <c r="AI46" s="409" t="str">
        <v>D. Tosi</v>
      </c>
      <c r="AJ46" s="409">
        <v>44482</v>
      </c>
      <c r="AK46" s="409" t="str">
        <v/>
      </c>
      <c r="AL46" s="9" t="str">
        <v/>
      </c>
    </row>
    <row r="47" spans="1:38" ht="68.099999999999994" hidden="1">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35">
        <v>212</v>
      </c>
      <c r="P47" s="443">
        <v>44927</v>
      </c>
      <c r="Q47" s="429" t="str">
        <v>UWM - PTH</v>
      </c>
      <c r="R47" s="428">
        <v>45139</v>
      </c>
      <c r="S47" s="430" t="str">
        <v>Truck</v>
      </c>
      <c r="T47" s="431" t="str">
        <v>PTH - CHC</v>
      </c>
      <c r="U47" s="431" t="str">
        <v>-</v>
      </c>
      <c r="V47" s="433" t="str">
        <v>ComSur</v>
      </c>
      <c r="W47" s="433" t="str">
        <v>CHC-MCM</v>
      </c>
      <c r="X47" s="433" t="str">
        <v>-</v>
      </c>
      <c r="Y47" s="435" t="str">
        <v>USAP Air</v>
      </c>
      <c r="Z47" s="434">
        <v>45231</v>
      </c>
      <c r="AA47" s="427" t="str">
        <v>-</v>
      </c>
      <c r="AB47" s="435" t="str">
        <v>LC-130</v>
      </c>
      <c r="AC47" s="409">
        <v>45275</v>
      </c>
      <c r="AD47" s="409" t="str">
        <v>Yes</v>
      </c>
      <c r="AE47" s="409" t="str">
        <v>FY24 inter</v>
      </c>
      <c r="AF47" s="409" t="str">
        <v>FY24 intra</v>
      </c>
      <c r="AG47" s="409" t="str">
        <v>S. Boeser</v>
      </c>
      <c r="AH47" s="409">
        <v>44482</v>
      </c>
      <c r="AI47" s="409" t="str">
        <v>D. Tosi</v>
      </c>
      <c r="AJ47" s="409">
        <v>44482</v>
      </c>
      <c r="AK47" s="409" t="str">
        <v>4+1 Radio Pulser, weight  50 kg. 1+1 Radio receiver, assume mDOM weight, 3+1 FOM (assume mDOM weight) + 2ftx2ftx4ft FOM box (50 lbs).  Special Devices from UW. FTS, seismometer missing from estimate.  250 lbs crate estimate</v>
      </c>
      <c r="AL47" s="9" t="str">
        <v/>
      </c>
    </row>
    <row r="48" spans="1:38" ht="30" hidden="1"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35">
        <v>61</v>
      </c>
      <c r="P48" s="428">
        <v>45078</v>
      </c>
      <c r="Q48" s="429" t="str">
        <v>UWM - PTH</v>
      </c>
      <c r="R48" s="428">
        <v>45139</v>
      </c>
      <c r="S48" s="430" t="str">
        <v>Truck</v>
      </c>
      <c r="T48" s="431" t="str">
        <v>PTH - CHC</v>
      </c>
      <c r="U48" s="431" t="str">
        <v>-</v>
      </c>
      <c r="V48" s="433" t="str">
        <v>ComSur</v>
      </c>
      <c r="W48" s="433" t="str">
        <v>CHC-MCM</v>
      </c>
      <c r="X48" s="433" t="str">
        <v>-</v>
      </c>
      <c r="Y48" s="435" t="str">
        <v>USAP Air</v>
      </c>
      <c r="Z48" s="434">
        <v>45231</v>
      </c>
      <c r="AA48" s="427" t="str">
        <v>-</v>
      </c>
      <c r="AB48" s="435" t="str">
        <v>LC-130</v>
      </c>
      <c r="AC48" s="409">
        <v>45261</v>
      </c>
      <c r="AD48" s="409" t="str">
        <v>Yes</v>
      </c>
      <c r="AE48" s="409" t="str">
        <v>FY24 inter</v>
      </c>
      <c r="AF48" s="409" t="str">
        <v>FY24 intra</v>
      </c>
      <c r="AG48" s="409" t="str">
        <v>T. Karg</v>
      </c>
      <c r="AH48" s="409">
        <v>44477</v>
      </c>
      <c r="AI48" s="409" t="str">
        <v>D. Tosi</v>
      </c>
      <c r="AJ48" s="409">
        <v>44477</v>
      </c>
      <c r="AK48" s="409" t="str">
        <v/>
      </c>
      <c r="AL48" s="9" t="str">
        <v/>
      </c>
    </row>
    <row r="49" spans="1:40" ht="32.450000000000003" hidden="1" customHeight="1">
      <c r="A49" s="25">
        <v>1.3</v>
      </c>
      <c r="B49" s="48" t="str">
        <v>Installation</v>
      </c>
      <c r="C49" s="71" t="str">
        <v>Special Devices 89-93</v>
      </c>
      <c r="D49" s="3" t="str">
        <v>Special devices for 5 remaining strings from UW (4+1 FOM,2+1 Radio Receivers, 11+1 LOM + seismometer*) - Do Not Deep Freeze</v>
      </c>
      <c r="E49" s="23">
        <v>81</v>
      </c>
      <c r="F49" s="23">
        <v>56</v>
      </c>
      <c r="G49" s="23">
        <v>51</v>
      </c>
      <c r="H49" s="23">
        <v>1</v>
      </c>
      <c r="I49" s="22">
        <v>133.875</v>
      </c>
      <c r="J49" s="22">
        <v>1797</v>
      </c>
      <c r="K49" s="4">
        <v>1797</v>
      </c>
      <c r="L49" s="445" t="str">
        <v>estimated</v>
      </c>
      <c r="M49" s="6" t="str">
        <v>DNDF [-40C]</v>
      </c>
      <c r="N49" s="10" t="str">
        <v>UWM/Kansas</v>
      </c>
      <c r="O49" s="435">
        <v>213</v>
      </c>
      <c r="P49" s="443">
        <v>45292</v>
      </c>
      <c r="Q49" s="429" t="str">
        <v>UWM - PTH</v>
      </c>
      <c r="R49" s="428">
        <v>45505</v>
      </c>
      <c r="S49" s="430" t="str">
        <v>Truck</v>
      </c>
      <c r="T49" s="431" t="str">
        <v>PTH - CHC</v>
      </c>
      <c r="U49" s="431" t="str">
        <v>-</v>
      </c>
      <c r="V49" s="433" t="str">
        <v>ComAir</v>
      </c>
      <c r="W49" s="433" t="str">
        <v>CHC-MCM</v>
      </c>
      <c r="X49" s="433" t="str">
        <v>-</v>
      </c>
      <c r="Y49" s="435" t="str">
        <v>USAP Air</v>
      </c>
      <c r="Z49" s="434">
        <v>45597</v>
      </c>
      <c r="AA49" s="427" t="str">
        <v>-</v>
      </c>
      <c r="AB49" s="435" t="str">
        <v>LC-130</v>
      </c>
      <c r="AC49" s="409">
        <v>45621</v>
      </c>
      <c r="AD49" s="409" t="str">
        <v>Yes</v>
      </c>
      <c r="AE49" s="409" t="str">
        <v>FY25 inter</v>
      </c>
      <c r="AF49" s="409" t="str">
        <v>FY25 intra</v>
      </c>
      <c r="AG49" s="409" t="str">
        <v>S. Boeser</v>
      </c>
      <c r="AH49" s="409">
        <v>44482</v>
      </c>
      <c r="AI49" s="409" t="str">
        <v>D. Tosi</v>
      </c>
      <c r="AJ49" s="409">
        <v>44482</v>
      </c>
      <c r="AK49" s="409" t="str">
        <v xml:space="preserve">21 Special Devices from USA (11+ 1 LOM, 4+1 FOM, 2+1 RR, FTS ? , seismometer), assume mDOM weight. 200 lbs wood crate. FTS not included. (*) Seismometer not yet in CMD </v>
      </c>
      <c r="AL49" s="9" t="str">
        <v/>
      </c>
    </row>
    <row r="50" spans="1:40" ht="32.450000000000003" hidden="1" customHeight="1">
      <c r="A50" s="25">
        <v>1.5</v>
      </c>
      <c r="B50" s="48" t="str">
        <v>Installation</v>
      </c>
      <c r="C50" s="3" t="str">
        <v>Calibration/Special Devices  89-93</v>
      </c>
      <c r="D50" s="3" t="str">
        <v>8+1 PencilBeams, 12+1 pDOMs from UW - Do Not Deep Freeze</v>
      </c>
      <c r="E50" s="23">
        <v>75</v>
      </c>
      <c r="F50" s="23">
        <v>56.5</v>
      </c>
      <c r="G50" s="445">
        <v>41</v>
      </c>
      <c r="H50" s="23">
        <v>1</v>
      </c>
      <c r="I50" s="22">
        <v>100.54253472222223</v>
      </c>
      <c r="J50" s="22">
        <v>1602</v>
      </c>
      <c r="K50" s="4">
        <v>1602</v>
      </c>
      <c r="L50" s="23" t="str">
        <v>preliminary</v>
      </c>
      <c r="M50" s="6" t="str">
        <v>DNDF [-40C]</v>
      </c>
      <c r="N50" s="427" t="str">
        <v xml:space="preserve"> U. Wisc. Madison</v>
      </c>
      <c r="O50" s="435">
        <v>352</v>
      </c>
      <c r="P50" s="428">
        <v>45153</v>
      </c>
      <c r="Q50" s="429" t="str">
        <v>UWM - PTH</v>
      </c>
      <c r="R50" s="428">
        <v>45505</v>
      </c>
      <c r="S50" s="430" t="str">
        <v>Truck</v>
      </c>
      <c r="T50" s="431" t="str">
        <v>PTH - CHC</v>
      </c>
      <c r="U50" s="431" t="str">
        <v>-</v>
      </c>
      <c r="V50" s="433" t="str">
        <v>ComSur</v>
      </c>
      <c r="W50" s="433" t="str">
        <v>CHC-MCM</v>
      </c>
      <c r="X50" s="433" t="str">
        <v>-</v>
      </c>
      <c r="Y50" s="435" t="str">
        <v>USAP Air</v>
      </c>
      <c r="Z50" s="434">
        <v>45597</v>
      </c>
      <c r="AA50" s="427" t="str">
        <v>-</v>
      </c>
      <c r="AB50" s="435" t="str">
        <v>LC-130</v>
      </c>
      <c r="AC50" s="409">
        <v>45621</v>
      </c>
      <c r="AD50" s="409" t="str">
        <v>Yes</v>
      </c>
      <c r="AE50" s="409" t="str">
        <v>FY25 inter</v>
      </c>
      <c r="AF50" s="409" t="str">
        <v>FY25 intra</v>
      </c>
      <c r="AG50" s="409" t="str">
        <v>D. Williams</v>
      </c>
      <c r="AH50" s="409">
        <v>44482</v>
      </c>
      <c r="AI50" s="409" t="str">
        <v>D. Tosi</v>
      </c>
      <c r="AJ50" s="409">
        <v>44474</v>
      </c>
      <c r="AK50" s="409" t="str">
        <v xml:space="preserve">8+1 PencilBeams for strings 89-93, 12+1 pDOMs, assume mDOM weight. 244 lbs crate. </v>
      </c>
      <c r="AL50" s="9" t="str">
        <v/>
      </c>
    </row>
    <row r="51" spans="1:40" ht="27" hidden="1" customHeight="1">
      <c r="A51" s="37">
        <v>1.2</v>
      </c>
      <c r="B51" s="70" t="str">
        <v>Installation</v>
      </c>
      <c r="C51" s="1" t="str">
        <v>Misc. Science Equipment - FY25</v>
      </c>
      <c r="D51" s="1" t="str">
        <v>Scientific and test equipment  (Handheld test devices, Paros, et al.) - Do Not Freeze</v>
      </c>
      <c r="E51" s="38">
        <v>48</v>
      </c>
      <c r="F51" s="38">
        <v>48</v>
      </c>
      <c r="G51" s="38">
        <v>48</v>
      </c>
      <c r="H51" s="23">
        <v>1</v>
      </c>
      <c r="I51" s="22">
        <v>64</v>
      </c>
      <c r="J51" s="22">
        <v>1500</v>
      </c>
      <c r="K51" s="4">
        <v>1500</v>
      </c>
      <c r="L51" s="449" t="str">
        <v>estimated</v>
      </c>
      <c r="M51" s="439" t="str">
        <v>DNF</v>
      </c>
      <c r="N51" s="427" t="str">
        <v xml:space="preserve"> U. Wisc. Madison</v>
      </c>
      <c r="O51" s="435">
        <v>61</v>
      </c>
      <c r="P51" s="428">
        <v>45444</v>
      </c>
      <c r="Q51" s="429" t="str">
        <v>UWM - PTH</v>
      </c>
      <c r="R51" s="428">
        <v>45505</v>
      </c>
      <c r="S51" s="430" t="str">
        <v>Truck</v>
      </c>
      <c r="T51" s="431" t="str">
        <v>PTH - CHC</v>
      </c>
      <c r="U51" s="431" t="str">
        <v>-</v>
      </c>
      <c r="V51" s="433" t="str">
        <v>ComSur</v>
      </c>
      <c r="W51" s="433" t="str">
        <v>CHC-MCM</v>
      </c>
      <c r="X51" s="433" t="str">
        <v>-</v>
      </c>
      <c r="Y51" s="435" t="str">
        <v>USAP Air</v>
      </c>
      <c r="Z51" s="434">
        <v>45597</v>
      </c>
      <c r="AA51" s="427" t="str">
        <v>-</v>
      </c>
      <c r="AB51" s="435" t="str">
        <v>LC-130</v>
      </c>
      <c r="AC51" s="409">
        <v>45627</v>
      </c>
      <c r="AD51" s="409" t="str">
        <v>Yes</v>
      </c>
      <c r="AE51" s="409" t="str">
        <v>FY25 inter</v>
      </c>
      <c r="AF51" s="409" t="str">
        <v>FY25 intra</v>
      </c>
      <c r="AG51" s="409" t="str">
        <v>D. Tosi</v>
      </c>
      <c r="AH51" s="409">
        <v>44477</v>
      </c>
      <c r="AI51" s="409" t="str">
        <v>D. Tosi</v>
      </c>
      <c r="AJ51" s="409">
        <v>44477</v>
      </c>
      <c r="AK51" s="409" t="str">
        <v/>
      </c>
      <c r="AL51" s="9" t="str">
        <v/>
      </c>
    </row>
    <row r="52" spans="1:40" ht="33.950000000000003" hidden="1">
      <c r="A52" s="25">
        <v>1.5</v>
      </c>
      <c r="B52" s="48" t="str">
        <v>Installation</v>
      </c>
      <c r="C52" s="3" t="str">
        <v>Dust logging device</v>
      </c>
      <c r="D52" s="3" t="str">
        <v>Blue Logging device - sensitive equipment - Do Not Freeze</v>
      </c>
      <c r="E52" s="23">
        <v>48</v>
      </c>
      <c r="F52" s="23">
        <v>17</v>
      </c>
      <c r="G52" s="23">
        <v>17</v>
      </c>
      <c r="H52" s="23">
        <v>1</v>
      </c>
      <c r="I52" s="22">
        <v>8.0277777777777786</v>
      </c>
      <c r="J52" s="22">
        <v>60</v>
      </c>
      <c r="K52" s="4">
        <v>60</v>
      </c>
      <c r="L52" s="445" t="str">
        <v>actual</v>
      </c>
      <c r="M52" s="436" t="str">
        <v>DNF</v>
      </c>
      <c r="N52" s="427" t="str">
        <v xml:space="preserve"> U. Wisc. Madison</v>
      </c>
      <c r="O52" s="435">
        <v>61</v>
      </c>
      <c r="P52" s="443">
        <v>45444</v>
      </c>
      <c r="Q52" s="429" t="str">
        <v>UWM - PTH</v>
      </c>
      <c r="R52" s="428">
        <v>45505</v>
      </c>
      <c r="S52" s="430" t="str">
        <v>Truck</v>
      </c>
      <c r="T52" s="431" t="str">
        <v>PTH - CHC</v>
      </c>
      <c r="U52" s="431" t="str">
        <v>-</v>
      </c>
      <c r="V52" s="433" t="str">
        <v>ComAir</v>
      </c>
      <c r="W52" s="433" t="str">
        <v>CHC-MCM</v>
      </c>
      <c r="X52" s="433" t="str">
        <v>-</v>
      </c>
      <c r="Y52" s="435" t="str">
        <v>USAP Air</v>
      </c>
      <c r="Z52" s="434">
        <v>45597</v>
      </c>
      <c r="AA52" s="427" t="str">
        <v>-</v>
      </c>
      <c r="AB52" s="435" t="str">
        <v>LC-130</v>
      </c>
      <c r="AC52" s="409">
        <v>45621</v>
      </c>
      <c r="AD52" s="409" t="str">
        <v>Yes</v>
      </c>
      <c r="AE52" s="409" t="str">
        <v>FY25 inter</v>
      </c>
      <c r="AF52" s="409" t="str">
        <v>FY25 intra</v>
      </c>
      <c r="AG52" s="409" t="str">
        <v>D. Williams</v>
      </c>
      <c r="AH52" s="409">
        <v>44483</v>
      </c>
      <c r="AI52" s="409" t="str">
        <v>D. Tosi</v>
      </c>
      <c r="AJ52" s="409">
        <v>44457</v>
      </c>
      <c r="AK52" s="409" t="str">
        <v>Used weights from last deployment season shipment data (could be combined)</v>
      </c>
      <c r="AL52" s="9" t="str">
        <v/>
      </c>
    </row>
    <row r="53" spans="1:40" ht="33.950000000000003" hidden="1">
      <c r="A53" s="25">
        <v>1.5</v>
      </c>
      <c r="B53" s="48" t="str">
        <v>Installation</v>
      </c>
      <c r="C53" s="3" t="str">
        <v>Dust logging device</v>
      </c>
      <c r="D53" s="3" t="str">
        <v>Green Logging device - sensitive equipment - Do Not Freeze</v>
      </c>
      <c r="E53" s="23">
        <v>48</v>
      </c>
      <c r="F53" s="23">
        <v>17</v>
      </c>
      <c r="G53" s="23">
        <v>17</v>
      </c>
      <c r="H53" s="23">
        <v>1</v>
      </c>
      <c r="I53" s="22">
        <v>8.0277777777777786</v>
      </c>
      <c r="J53" s="22">
        <v>60</v>
      </c>
      <c r="K53" s="4">
        <v>60</v>
      </c>
      <c r="L53" s="445" t="str">
        <v>actual</v>
      </c>
      <c r="M53" s="436" t="str">
        <v>DNF</v>
      </c>
      <c r="N53" s="427" t="str">
        <v xml:space="preserve"> U. Wisc. Madison</v>
      </c>
      <c r="O53" s="435">
        <v>61</v>
      </c>
      <c r="P53" s="443">
        <v>45444</v>
      </c>
      <c r="Q53" s="429" t="str">
        <v>UWM - PTH</v>
      </c>
      <c r="R53" s="428">
        <v>45505</v>
      </c>
      <c r="S53" s="430" t="str">
        <v>Truck</v>
      </c>
      <c r="T53" s="431" t="str">
        <v>PTH - CHC</v>
      </c>
      <c r="U53" s="431" t="str">
        <v>-</v>
      </c>
      <c r="V53" s="433" t="str">
        <v>ComAir</v>
      </c>
      <c r="W53" s="433" t="str">
        <v>CHC-MCM</v>
      </c>
      <c r="X53" s="433" t="str">
        <v>-</v>
      </c>
      <c r="Y53" s="435" t="str">
        <v>USAP Air</v>
      </c>
      <c r="Z53" s="434">
        <v>45597</v>
      </c>
      <c r="AA53" s="427" t="str">
        <v>-</v>
      </c>
      <c r="AB53" s="435" t="str">
        <v>LC-130</v>
      </c>
      <c r="AC53" s="409">
        <v>45621</v>
      </c>
      <c r="AD53" s="409" t="str">
        <v>Yes</v>
      </c>
      <c r="AE53" s="409" t="str">
        <v>FY25 inter</v>
      </c>
      <c r="AF53" s="409" t="str">
        <v>FY25 intra</v>
      </c>
      <c r="AG53" s="409" t="str">
        <v>D. Williams</v>
      </c>
      <c r="AH53" s="409">
        <v>44483</v>
      </c>
      <c r="AI53" s="409" t="str">
        <v>D. Tosi</v>
      </c>
      <c r="AJ53" s="409">
        <v>44458</v>
      </c>
      <c r="AK53" s="409" t="str">
        <v>Used weights from last deployment season shipment data (could be combined)</v>
      </c>
      <c r="AL53" s="9" t="str">
        <v/>
      </c>
    </row>
    <row r="54" spans="1:40" ht="33.950000000000003" hidden="1">
      <c r="A54" s="25">
        <v>1.5</v>
      </c>
      <c r="B54" s="48" t="str">
        <v>Installation</v>
      </c>
      <c r="C54" s="3" t="str">
        <v>Dust logging device</v>
      </c>
      <c r="D54" s="3" t="str">
        <v>Electronics parts - sensitive equipment - Do Not Freeze</v>
      </c>
      <c r="E54" s="23">
        <v>26</v>
      </c>
      <c r="F54" s="23">
        <v>24</v>
      </c>
      <c r="G54" s="23">
        <v>24</v>
      </c>
      <c r="H54" s="23">
        <v>1</v>
      </c>
      <c r="I54" s="22">
        <v>8.6666666666666661</v>
      </c>
      <c r="J54" s="22">
        <v>120</v>
      </c>
      <c r="K54" s="4">
        <v>120</v>
      </c>
      <c r="L54" s="445" t="str">
        <v>actual</v>
      </c>
      <c r="M54" s="436" t="str">
        <v>DNF</v>
      </c>
      <c r="N54" s="427" t="str">
        <v xml:space="preserve"> U. Wisc. Madison</v>
      </c>
      <c r="O54" s="435">
        <v>61</v>
      </c>
      <c r="P54" s="443">
        <v>45444</v>
      </c>
      <c r="Q54" s="429" t="str">
        <v>UWM - PTH</v>
      </c>
      <c r="R54" s="428">
        <v>45505</v>
      </c>
      <c r="S54" s="430" t="str">
        <v>Truck</v>
      </c>
      <c r="T54" s="431" t="str">
        <v>PTH - CHC</v>
      </c>
      <c r="U54" s="431" t="str">
        <v>-</v>
      </c>
      <c r="V54" s="433" t="str">
        <v>ComAir</v>
      </c>
      <c r="W54" s="433" t="str">
        <v>CHC-MCM</v>
      </c>
      <c r="X54" s="433" t="str">
        <v>-</v>
      </c>
      <c r="Y54" s="435" t="str">
        <v>USAP Air</v>
      </c>
      <c r="Z54" s="434">
        <v>45597</v>
      </c>
      <c r="AA54" s="427" t="str">
        <v>-</v>
      </c>
      <c r="AB54" s="435" t="str">
        <v>LC-130</v>
      </c>
      <c r="AC54" s="409">
        <v>45621</v>
      </c>
      <c r="AD54" s="409" t="str">
        <v>Yes</v>
      </c>
      <c r="AE54" s="409" t="str">
        <v>FY25 inter</v>
      </c>
      <c r="AF54" s="409" t="str">
        <v>FY25 intra</v>
      </c>
      <c r="AG54" s="409" t="str">
        <v>D. Williams</v>
      </c>
      <c r="AH54" s="409">
        <v>44483</v>
      </c>
      <c r="AI54" s="409" t="str">
        <v>D. Tosi</v>
      </c>
      <c r="AJ54" s="409">
        <v>44459</v>
      </c>
      <c r="AK54" s="409" t="str">
        <v>Used weights from last deployment season shipment data (could be combined)</v>
      </c>
      <c r="AL54" s="9" t="str">
        <v/>
      </c>
    </row>
    <row r="55" spans="1:40" ht="33.950000000000003" hidden="1">
      <c r="A55" s="25">
        <v>1.5</v>
      </c>
      <c r="B55" s="48" t="str">
        <v>Installation</v>
      </c>
      <c r="C55" s="3" t="str">
        <v>Dust logging device</v>
      </c>
      <c r="D55" s="3" t="str">
        <v>Electronics parts - sensitive equipment - Do Not Freeze</v>
      </c>
      <c r="E55" s="23">
        <v>26</v>
      </c>
      <c r="F55" s="23">
        <v>23</v>
      </c>
      <c r="G55" s="23">
        <v>20</v>
      </c>
      <c r="H55" s="23">
        <v>1</v>
      </c>
      <c r="I55" s="22">
        <v>6.9212962962962967</v>
      </c>
      <c r="J55" s="22">
        <v>60</v>
      </c>
      <c r="K55" s="4">
        <v>60</v>
      </c>
      <c r="L55" s="445" t="str">
        <v>actual</v>
      </c>
      <c r="M55" s="436" t="str">
        <v>DNF</v>
      </c>
      <c r="N55" s="427" t="str">
        <v xml:space="preserve"> U. Wisc. Madison</v>
      </c>
      <c r="O55" s="435">
        <v>61</v>
      </c>
      <c r="P55" s="443">
        <v>45444</v>
      </c>
      <c r="Q55" s="429" t="str">
        <v>UWM - PTH</v>
      </c>
      <c r="R55" s="428">
        <v>45505</v>
      </c>
      <c r="S55" s="430" t="str">
        <v>Truck</v>
      </c>
      <c r="T55" s="431" t="str">
        <v>PTH - CHC</v>
      </c>
      <c r="U55" s="431" t="str">
        <v>-</v>
      </c>
      <c r="V55" s="433" t="str">
        <v>ComAir</v>
      </c>
      <c r="W55" s="433" t="str">
        <v>CHC-MCM</v>
      </c>
      <c r="X55" s="433" t="str">
        <v>-</v>
      </c>
      <c r="Y55" s="435" t="str">
        <v>USAP Air</v>
      </c>
      <c r="Z55" s="434">
        <v>45597</v>
      </c>
      <c r="AA55" s="427" t="str">
        <v>-</v>
      </c>
      <c r="AB55" s="435" t="str">
        <v>LC-130</v>
      </c>
      <c r="AC55" s="409">
        <v>45621</v>
      </c>
      <c r="AD55" s="409" t="str">
        <v>Yes</v>
      </c>
      <c r="AE55" s="409" t="str">
        <v>FY25 inter</v>
      </c>
      <c r="AF55" s="409" t="str">
        <v>FY25 intra</v>
      </c>
      <c r="AG55" s="409" t="str">
        <v>D. Williams</v>
      </c>
      <c r="AH55" s="409">
        <v>44483</v>
      </c>
      <c r="AI55" s="409" t="str">
        <v>D. Tosi</v>
      </c>
      <c r="AJ55" s="409">
        <v>44460</v>
      </c>
      <c r="AK55" s="409" t="str">
        <v>Used weights from last deployment season shipment data (could be combined)</v>
      </c>
      <c r="AL55" s="9" t="str">
        <v/>
      </c>
    </row>
    <row r="56" spans="1:40" ht="33.950000000000003" hidden="1">
      <c r="A56" s="25">
        <v>1.5</v>
      </c>
      <c r="B56" s="48" t="str">
        <v>Installation</v>
      </c>
      <c r="C56" s="3" t="str">
        <v>Logging winch</v>
      </c>
      <c r="D56" s="3" t="str">
        <v xml:space="preserve">Winch to be used for Dust Logging </v>
      </c>
      <c r="E56" s="23">
        <v>86</v>
      </c>
      <c r="F56" s="23">
        <v>60</v>
      </c>
      <c r="G56" s="23">
        <v>68</v>
      </c>
      <c r="H56" s="23">
        <v>1</v>
      </c>
      <c r="I56" s="22">
        <v>203.05555555555554</v>
      </c>
      <c r="J56" s="22">
        <v>3500</v>
      </c>
      <c r="K56" s="4">
        <v>3500</v>
      </c>
      <c r="L56" s="445" t="str">
        <v>preliminary</v>
      </c>
      <c r="M56" s="436" t="str">
        <v/>
      </c>
      <c r="N56" s="427" t="str">
        <v xml:space="preserve"> U. Wisc. Madison</v>
      </c>
      <c r="O56" s="435">
        <v>61</v>
      </c>
      <c r="P56" s="443">
        <v>45444</v>
      </c>
      <c r="Q56" s="429" t="str">
        <v>UWM - PTH</v>
      </c>
      <c r="R56" s="428">
        <v>45505</v>
      </c>
      <c r="S56" s="430" t="str">
        <v>Truck</v>
      </c>
      <c r="T56" s="431" t="str">
        <v>PTH - CHC</v>
      </c>
      <c r="U56" s="431" t="str">
        <v>-</v>
      </c>
      <c r="V56" s="433" t="str">
        <v>ComAir</v>
      </c>
      <c r="W56" s="433" t="str">
        <v>CHC-MCM</v>
      </c>
      <c r="X56" s="433" t="str">
        <v>-</v>
      </c>
      <c r="Y56" s="435" t="str">
        <v>USAP Air</v>
      </c>
      <c r="Z56" s="434">
        <v>45597</v>
      </c>
      <c r="AA56" s="427" t="str">
        <v>-</v>
      </c>
      <c r="AB56" s="435" t="str">
        <v>LC-130</v>
      </c>
      <c r="AC56" s="409">
        <v>45621</v>
      </c>
      <c r="AD56" s="409" t="str">
        <v>Yes</v>
      </c>
      <c r="AE56" s="409" t="str">
        <v>FY25 inter</v>
      </c>
      <c r="AF56" s="409" t="str">
        <v>FY25 intra</v>
      </c>
      <c r="AG56" s="409" t="str">
        <v>D. Tosi</v>
      </c>
      <c r="AH56" s="409">
        <v>44477</v>
      </c>
      <c r="AI56" s="409" t="str">
        <v>I. McEwen</v>
      </c>
      <c r="AJ56" s="409">
        <v>44477</v>
      </c>
      <c r="AK56" s="409" t="str">
        <v>Used weights and cubes of IDP deep logging winch. Send back end of season</v>
      </c>
      <c r="AL56" s="9" t="str">
        <v/>
      </c>
    </row>
    <row r="57" spans="1:40" ht="33.950000000000003" hidden="1">
      <c r="A57" s="25">
        <v>1.5</v>
      </c>
      <c r="B57" s="48" t="str">
        <v>Installation</v>
      </c>
      <c r="C57" s="3" t="str">
        <v>Logging winch control box</v>
      </c>
      <c r="D57" s="3" t="str">
        <v>Control Box for winch for Dust Logging  - sensitive equipment - Do Not Freeze</v>
      </c>
      <c r="E57" s="23">
        <v>48</v>
      </c>
      <c r="F57" s="23">
        <v>48</v>
      </c>
      <c r="G57" s="23">
        <v>36</v>
      </c>
      <c r="H57" s="23">
        <v>1</v>
      </c>
      <c r="I57" s="22">
        <v>48</v>
      </c>
      <c r="J57" s="22">
        <v>400</v>
      </c>
      <c r="K57" s="4">
        <v>400</v>
      </c>
      <c r="L57" s="445" t="str">
        <v>preliminary</v>
      </c>
      <c r="M57" s="436" t="str">
        <v>DNF</v>
      </c>
      <c r="N57" s="427" t="str">
        <v xml:space="preserve"> U. Wisc. Madison</v>
      </c>
      <c r="O57" s="435">
        <v>61</v>
      </c>
      <c r="P57" s="443">
        <v>45444</v>
      </c>
      <c r="Q57" s="429" t="str">
        <v>UWM - PTH</v>
      </c>
      <c r="R57" s="428">
        <v>45505</v>
      </c>
      <c r="S57" s="430" t="str">
        <v>Truck</v>
      </c>
      <c r="T57" s="431" t="str">
        <v>PTH - CHC</v>
      </c>
      <c r="U57" s="431" t="str">
        <v>-</v>
      </c>
      <c r="V57" s="433" t="str">
        <v>ComAir</v>
      </c>
      <c r="W57" s="433" t="str">
        <v>CHC-MCM</v>
      </c>
      <c r="X57" s="433" t="str">
        <v>-</v>
      </c>
      <c r="Y57" s="435" t="str">
        <v>USAP Air</v>
      </c>
      <c r="Z57" s="434">
        <v>45597</v>
      </c>
      <c r="AA57" s="427" t="str">
        <v>-</v>
      </c>
      <c r="AB57" s="435" t="str">
        <v>LC-130</v>
      </c>
      <c r="AC57" s="409">
        <v>45621</v>
      </c>
      <c r="AD57" s="409" t="str">
        <v>Yes</v>
      </c>
      <c r="AE57" s="409" t="str">
        <v>FY25 inter</v>
      </c>
      <c r="AF57" s="409" t="str">
        <v>FY25 intra</v>
      </c>
      <c r="AG57" s="409" t="str">
        <v>D. Tosi</v>
      </c>
      <c r="AH57" s="409">
        <v>44477</v>
      </c>
      <c r="AI57" s="409" t="str">
        <v>I. McEwen</v>
      </c>
      <c r="AJ57" s="409">
        <v>44477</v>
      </c>
      <c r="AK57" s="409" t="str">
        <v>Used weights and cubes of IDP deep logging winch. Send back end of season</v>
      </c>
      <c r="AL57" s="9"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ht="30" hidden="1" customHeight="1" thickTop="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35">
        <v>14</v>
      </c>
      <c r="P59" s="428">
        <v>44866</v>
      </c>
      <c r="Q59" s="429" t="str">
        <v>MSU - PTH</v>
      </c>
      <c r="R59" s="428">
        <v>44880</v>
      </c>
      <c r="S59" s="430" t="str">
        <v>Truck</v>
      </c>
      <c r="T59" s="431" t="str">
        <v>PTH - MCM</v>
      </c>
      <c r="U59" s="431" t="str">
        <v>-</v>
      </c>
      <c r="V59" s="433" t="str">
        <v>USAP Vessel</v>
      </c>
      <c r="W59" s="433" t="str">
        <v>USAP Vessel</v>
      </c>
      <c r="X59" s="433" t="str">
        <v>-</v>
      </c>
      <c r="Y59" s="426" t="str">
        <v>-</v>
      </c>
      <c r="Z59" s="434">
        <v>44963</v>
      </c>
      <c r="AA59" s="409" t="str">
        <v>-</v>
      </c>
      <c r="AB59" s="435" t="str">
        <v>LC-130/SPoT</v>
      </c>
      <c r="AC59" s="409">
        <v>45270</v>
      </c>
      <c r="AD59" s="409" t="str">
        <v>Yes</v>
      </c>
      <c r="AE59" s="409" t="str">
        <v>FY23 inter</v>
      </c>
      <c r="AF59" s="409" t="str">
        <v>FY24 intra</v>
      </c>
      <c r="AG59" s="409" t="str">
        <v>T. DeYoung</v>
      </c>
      <c r="AH59" s="409">
        <v>44482</v>
      </c>
      <c r="AI59" s="409" t="str">
        <v>D. Tosi</v>
      </c>
      <c r="AJ59" s="409">
        <v>44480</v>
      </c>
      <c r="AK59" s="409" t="str">
        <v>Each is 66" x 30" x 14", each is 112 lbs. Assume Folding crate. Simple passive objects, work plan can probably be shifted to increase float.</v>
      </c>
      <c r="AL59" s="9" t="str">
        <v/>
      </c>
    </row>
    <row r="60" spans="1:40" ht="32.25" hidden="1"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07" t="str">
        <v/>
      </c>
      <c r="N60" s="427" t="str">
        <v>MSU</v>
      </c>
      <c r="O60" s="435">
        <v>366</v>
      </c>
      <c r="P60" s="428">
        <v>44530</v>
      </c>
      <c r="Q60" s="429" t="str">
        <v>MSU - PTH</v>
      </c>
      <c r="R60" s="428">
        <v>44896</v>
      </c>
      <c r="S60" s="430" t="str">
        <v>Truck</v>
      </c>
      <c r="T60" s="431" t="str">
        <v>PTH - MCM</v>
      </c>
      <c r="U60" s="431" t="str">
        <v>-</v>
      </c>
      <c r="V60" s="433" t="str">
        <v>USAP Vessel</v>
      </c>
      <c r="W60" s="433" t="str">
        <v>USAP Vessel</v>
      </c>
      <c r="X60" s="433" t="str">
        <v>-</v>
      </c>
      <c r="Y60" s="426" t="str">
        <v>-</v>
      </c>
      <c r="Z60" s="434">
        <v>44963</v>
      </c>
      <c r="AA60" s="409" t="str">
        <v>-</v>
      </c>
      <c r="AB60" s="435" t="str">
        <v>LC-130</v>
      </c>
      <c r="AC60" s="409">
        <v>45250</v>
      </c>
      <c r="AD60" s="409" t="str">
        <v>Yes</v>
      </c>
      <c r="AE60" s="409" t="str">
        <v>FY23 inter</v>
      </c>
      <c r="AF60" s="409" t="str">
        <v>FY24 intra</v>
      </c>
      <c r="AG60" s="409" t="str">
        <v>T. DeYoung</v>
      </c>
      <c r="AH60" s="409">
        <v>44482</v>
      </c>
      <c r="AI60" s="409" t="str">
        <v>D. Tosi</v>
      </c>
      <c r="AJ60" s="409">
        <v>44480</v>
      </c>
      <c r="AK60" s="409" t="str">
        <v/>
      </c>
      <c r="AL60" s="9" t="str">
        <v/>
      </c>
    </row>
    <row r="61" spans="1:40" ht="68.099999999999994" hidden="1">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07" t="str">
        <v>DNDF[-40C](*)</v>
      </c>
      <c r="N61" s="427" t="str">
        <v>MSU</v>
      </c>
      <c r="O61" s="435">
        <v>46</v>
      </c>
      <c r="P61" s="428">
        <v>44985</v>
      </c>
      <c r="Q61" s="429" t="str">
        <v>MSU - PTH</v>
      </c>
      <c r="R61" s="428">
        <v>45031</v>
      </c>
      <c r="S61" s="431" t="str">
        <v>Truck</v>
      </c>
      <c r="T61" s="431" t="str">
        <v>PTH - MCM</v>
      </c>
      <c r="U61" s="431" t="str">
        <v>-</v>
      </c>
      <c r="V61" s="433" t="str">
        <v>USAP Vessel</v>
      </c>
      <c r="W61" s="433" t="str">
        <v>USAP Vessel</v>
      </c>
      <c r="X61" s="433" t="str">
        <v>-</v>
      </c>
      <c r="Y61" s="426" t="str">
        <v>-</v>
      </c>
      <c r="Z61" s="434">
        <v>45328</v>
      </c>
      <c r="AA61" s="427" t="str">
        <v>-</v>
      </c>
      <c r="AB61" s="435" t="str">
        <v>LC-130</v>
      </c>
      <c r="AC61" s="409">
        <v>45337</v>
      </c>
      <c r="AD61" s="409" t="str">
        <v>Yes</v>
      </c>
      <c r="AE61" s="409" t="str">
        <v>FY24 inter</v>
      </c>
      <c r="AF61" s="409" t="str">
        <v>FY24 intra</v>
      </c>
      <c r="AG61" s="409" t="str">
        <v>T. DeYoung</v>
      </c>
      <c r="AH61" s="409">
        <v>44459</v>
      </c>
      <c r="AI61" s="409" t="str">
        <v>D. Tosi</v>
      </c>
      <c r="AJ61" s="409">
        <v>44480</v>
      </c>
      <c r="AK61" s="409" t="e">
        <v>#VALUE!</v>
      </c>
      <c r="AL61" s="9" t="str">
        <v/>
      </c>
    </row>
    <row r="62" spans="1:40" ht="32.25" hidden="1" customHeight="1">
      <c r="A62" s="35">
        <v>1.4</v>
      </c>
      <c r="B62" s="89" t="str">
        <v>Installation</v>
      </c>
      <c r="C62" s="20" t="str">
        <v>Breakout cables for strings 89-93</v>
      </c>
      <c r="D62" s="20" t="str">
        <v>Stored in McMurdo FY24. 5 wooden crates containing spooled breakout cable assemblies - 96 cf/ 1,000 lbs each (preliminary) -  Do Not Deep Freeze</v>
      </c>
      <c r="E62" s="36">
        <v>72</v>
      </c>
      <c r="F62" s="36">
        <v>48</v>
      </c>
      <c r="G62" s="36">
        <v>48</v>
      </c>
      <c r="H62" s="23">
        <v>5</v>
      </c>
      <c r="I62" s="4">
        <v>480</v>
      </c>
      <c r="J62" s="4">
        <v>1000</v>
      </c>
      <c r="K62" s="4">
        <v>5000</v>
      </c>
      <c r="L62" s="36" t="str">
        <v>estimated</v>
      </c>
      <c r="M62" s="497" t="str">
        <v>DNDF[-40C](*)</v>
      </c>
      <c r="N62" s="427" t="str">
        <v>MSU</v>
      </c>
      <c r="O62" s="435">
        <v>24</v>
      </c>
      <c r="P62" s="428">
        <v>45068</v>
      </c>
      <c r="Q62" s="429" t="str">
        <v>MSU - PTH</v>
      </c>
      <c r="R62" s="428">
        <v>45092</v>
      </c>
      <c r="S62" s="431" t="str">
        <v>Truck</v>
      </c>
      <c r="T62" s="431" t="str">
        <v>PTH - MCM</v>
      </c>
      <c r="U62" s="431" t="str">
        <v>-</v>
      </c>
      <c r="V62" s="433" t="str">
        <v>USAP Vessel</v>
      </c>
      <c r="W62" s="433" t="str">
        <v>USAP Vessel</v>
      </c>
      <c r="X62" s="433" t="str">
        <v>-</v>
      </c>
      <c r="Y62" s="426" t="str">
        <v>-</v>
      </c>
      <c r="Z62" s="434">
        <v>45328</v>
      </c>
      <c r="AA62" s="427" t="str">
        <v>-</v>
      </c>
      <c r="AB62" s="435" t="str">
        <v>LC-130/SPoT</v>
      </c>
      <c r="AC62" s="409">
        <v>45621</v>
      </c>
      <c r="AD62" s="409" t="str">
        <v>Yes</v>
      </c>
      <c r="AE62" s="409" t="str">
        <v>FY24 inter</v>
      </c>
      <c r="AF62" s="409" t="str">
        <v>FY25 intra</v>
      </c>
      <c r="AG62" s="409" t="str">
        <v>T. DeYoung</v>
      </c>
      <c r="AH62" s="409">
        <v>44459</v>
      </c>
      <c r="AI62" s="409" t="str">
        <v>D. Tosi</v>
      </c>
      <c r="AJ62" s="409">
        <v>44459</v>
      </c>
      <c r="AK62" s="409" t="str">
        <v xml:space="preserve">Float in PTH due to storage limitation in MSU.
(*) storage in McMurdo pending low temperature test  </v>
      </c>
      <c r="AL62" s="9" t="str">
        <v/>
      </c>
    </row>
    <row r="63" spans="1:40" ht="32.25" hidden="1" customHeight="1">
      <c r="A63" s="35">
        <v>1.4</v>
      </c>
      <c r="B63" s="51" t="str">
        <v>Installation</v>
      </c>
      <c r="C63" s="20" t="str">
        <v>Main (downhole) load members 87-93</v>
      </c>
      <c r="D63" s="20" t="str">
        <v>May be possible to store in McMurdo until drill season - Do Not Deep Freeze</v>
      </c>
      <c r="E63" s="36">
        <v>47</v>
      </c>
      <c r="F63" s="36">
        <v>47</v>
      </c>
      <c r="G63" s="36">
        <v>39</v>
      </c>
      <c r="H63" s="23">
        <v>7</v>
      </c>
      <c r="I63" s="4">
        <v>348.99131944444446</v>
      </c>
      <c r="J63" s="4">
        <v>766</v>
      </c>
      <c r="K63" s="4">
        <v>5362</v>
      </c>
      <c r="L63" s="36" t="str">
        <v>preliminary</v>
      </c>
      <c r="M63" s="107" t="str">
        <v>DNDF[-40C](*)</v>
      </c>
      <c r="N63" s="427" t="str">
        <v>MSU</v>
      </c>
      <c r="O63" s="435">
        <v>14</v>
      </c>
      <c r="P63" s="428">
        <v>45017</v>
      </c>
      <c r="Q63" s="429" t="str">
        <v>MSU - PTH</v>
      </c>
      <c r="R63" s="428">
        <v>45031</v>
      </c>
      <c r="S63" s="431" t="str">
        <v>Truck</v>
      </c>
      <c r="T63" s="431" t="str">
        <v>PTH - MCM</v>
      </c>
      <c r="U63" s="431" t="str">
        <v>-</v>
      </c>
      <c r="V63" s="433" t="str">
        <v>USAP Vessel</v>
      </c>
      <c r="W63" s="433" t="str">
        <v>USAP Vessel</v>
      </c>
      <c r="X63" s="433" t="str">
        <v>-</v>
      </c>
      <c r="Y63" s="426" t="str">
        <v>-</v>
      </c>
      <c r="Z63" s="434">
        <v>45328</v>
      </c>
      <c r="AA63" s="409" t="str">
        <v>-</v>
      </c>
      <c r="AB63" s="435" t="str">
        <v>LC-130/SPoT</v>
      </c>
      <c r="AC63" s="409">
        <v>45627</v>
      </c>
      <c r="AD63" s="409" t="str">
        <v>Yes</v>
      </c>
      <c r="AE63" s="409" t="str">
        <v>FY24 inter</v>
      </c>
      <c r="AF63" s="409" t="str">
        <v>FY25 intra</v>
      </c>
      <c r="AG63" s="409" t="str">
        <v>T. DeYoung</v>
      </c>
      <c r="AH63" s="409">
        <v>44459</v>
      </c>
      <c r="AI63" s="409" t="str">
        <v>D. Tosi</v>
      </c>
      <c r="AJ63" s="409">
        <v>44480</v>
      </c>
      <c r="AK63" s="409" t="str">
        <v>Shipping date synched with main (downhole) cables due to storage limitation in MSU. Float in PTH.</v>
      </c>
      <c r="AL63" s="9" t="str">
        <v/>
      </c>
    </row>
    <row r="64" spans="1:40" ht="40.5" hidden="1" customHeight="1">
      <c r="A64" s="35">
        <v>1.4</v>
      </c>
      <c r="B64" s="51" t="str">
        <v>Installation</v>
      </c>
      <c r="C64" s="20" t="str">
        <v>Main (downhole) cables 87-93</v>
      </c>
      <c r="D64" s="20" t="str">
        <v>May be possible to store in McMurdo until drill season - Do Not Deep Freeze</v>
      </c>
      <c r="E64" s="36">
        <v>96</v>
      </c>
      <c r="F64" s="36">
        <v>96</v>
      </c>
      <c r="G64" s="36">
        <v>96</v>
      </c>
      <c r="H64" s="23">
        <v>7</v>
      </c>
      <c r="I64" s="4">
        <v>3584</v>
      </c>
      <c r="J64" s="4">
        <v>15000</v>
      </c>
      <c r="K64" s="4">
        <v>105000</v>
      </c>
      <c r="L64" s="36" t="str">
        <v>preliminary</v>
      </c>
      <c r="M64" s="107" t="str">
        <v>DNDF[-40C](*)</v>
      </c>
      <c r="N64" s="427" t="str">
        <v>MSU</v>
      </c>
      <c r="O64" s="435">
        <v>14</v>
      </c>
      <c r="P64" s="428">
        <v>45017</v>
      </c>
      <c r="Q64" s="429" t="str">
        <v>MSU - PTH</v>
      </c>
      <c r="R64" s="428">
        <v>45031</v>
      </c>
      <c r="S64" s="431" t="str">
        <v>Truck</v>
      </c>
      <c r="T64" s="431" t="str">
        <v>PTH - MCM</v>
      </c>
      <c r="U64" s="431" t="str">
        <v>-</v>
      </c>
      <c r="V64" s="433" t="str">
        <v>USAP Vessel</v>
      </c>
      <c r="W64" s="433" t="str">
        <v>USAP Vessel</v>
      </c>
      <c r="X64" s="433" t="str">
        <v>-</v>
      </c>
      <c r="Y64" s="426" t="str">
        <v>-</v>
      </c>
      <c r="Z64" s="434">
        <v>45328</v>
      </c>
      <c r="AA64" s="409" t="str">
        <v>-</v>
      </c>
      <c r="AB64" s="435" t="str">
        <v>LC-130/SPoT</v>
      </c>
      <c r="AC64" s="409">
        <v>45627</v>
      </c>
      <c r="AD64" s="409" t="str">
        <v>Yes</v>
      </c>
      <c r="AE64" s="409" t="str">
        <v>FY24 inter</v>
      </c>
      <c r="AF64" s="409" t="str">
        <v>FY25 intra</v>
      </c>
      <c r="AG64" s="409" t="str">
        <v>T. DeYoung</v>
      </c>
      <c r="AH64" s="409">
        <v>44459</v>
      </c>
      <c r="AI64" s="409" t="str">
        <v>D. Tosi</v>
      </c>
      <c r="AJ64" s="409">
        <v>44480</v>
      </c>
      <c r="AK64" s="409" t="str">
        <v>Shipping date chosen to be 2 weeks after scheduled ready to ship date because of storage limitations at MSU. additional 7 months of float at Port Hueneme assuming USAP vessel departure.  (*) storage in McMurdo pending low temperature test.</v>
      </c>
      <c r="AL64" s="9" t="str">
        <v/>
      </c>
    </row>
    <row r="65" spans="1:40" ht="72" hidden="1" customHeight="1">
      <c r="A65" s="25">
        <v>1.3</v>
      </c>
      <c r="B65" s="48" t="str">
        <v>Installation</v>
      </c>
      <c r="C65" s="3" t="str">
        <v>String Sensors 89-93</v>
      </c>
      <c r="D65" s="3" t="str">
        <v>Optical Sensors for 5 strings from MSU (mDOMs) - Do Not Deep Freeze</v>
      </c>
      <c r="E65" s="23">
        <v>40</v>
      </c>
      <c r="F65" s="23">
        <v>48</v>
      </c>
      <c r="G65" s="445">
        <v>46</v>
      </c>
      <c r="H65" s="23">
        <v>25</v>
      </c>
      <c r="I65" s="4">
        <v>1277.7777777777778</v>
      </c>
      <c r="J65" s="4">
        <v>573</v>
      </c>
      <c r="K65" s="4">
        <v>14325</v>
      </c>
      <c r="L65" s="445" t="str">
        <v>actual(**)</v>
      </c>
      <c r="M65" s="6" t="str">
        <v>DNDF [-40C]</v>
      </c>
      <c r="N65" s="10" t="str">
        <v>MSU</v>
      </c>
      <c r="O65" s="435">
        <v>366</v>
      </c>
      <c r="P65" s="428">
        <v>45139</v>
      </c>
      <c r="Q65" s="429" t="str">
        <v>MSU - PTH</v>
      </c>
      <c r="R65" s="428">
        <v>45505</v>
      </c>
      <c r="S65" s="431" t="str">
        <v>Truck</v>
      </c>
      <c r="T65" s="431" t="str">
        <v>PTH - CHC</v>
      </c>
      <c r="U65" s="431" t="str">
        <v>-</v>
      </c>
      <c r="V65" s="433" t="str">
        <v>ComSur</v>
      </c>
      <c r="W65" s="433" t="str">
        <v>CHC - MCM</v>
      </c>
      <c r="X65" s="433" t="str">
        <v>-</v>
      </c>
      <c r="Y65" s="435" t="str">
        <v>USAP Air</v>
      </c>
      <c r="Z65" s="434">
        <v>45597</v>
      </c>
      <c r="AA65" s="427" t="str">
        <v>-</v>
      </c>
      <c r="AB65" s="435" t="str">
        <v>LC-130</v>
      </c>
      <c r="AC65" s="409">
        <v>45621</v>
      </c>
      <c r="AD65" s="409" t="str">
        <v>Yes</v>
      </c>
      <c r="AE65" s="409" t="str">
        <v>FY25 inter</v>
      </c>
      <c r="AF65" s="409" t="str">
        <v>FY25 intra</v>
      </c>
      <c r="AG65" s="409" t="str">
        <v>T. Karg</v>
      </c>
      <c r="AH65" s="409">
        <v>44459</v>
      </c>
      <c r="AI65" s="409" t="str">
        <v>D. Tosi</v>
      </c>
      <c r="AJ65" s="409">
        <v>44461</v>
      </c>
      <c r="AK65" s="409" t="str">
        <v>mDOM weight is 28 kg/boxed + 35kg pallet, assume 8 mDOMs/pallet (189 to be deployed + 11 spares)(*)Assumed to be shipped in 2x20' HC  (5115 lbs, 238inx96inx114in) or a 40 ft HC, purchased by MSU or loaned in PTH (container weight not included)</v>
      </c>
      <c r="AL65" s="9" t="str">
        <v/>
      </c>
    </row>
    <row r="66" spans="1:40" ht="51" hidden="1">
      <c r="A66" s="25">
        <v>1.3</v>
      </c>
      <c r="B66" s="48" t="str">
        <v>Installation</v>
      </c>
      <c r="C66" s="3" t="str">
        <v>String Sensors 89-93</v>
      </c>
      <c r="D66" s="3" t="str">
        <v>Optical Sensors for 5 strings from MSU (mDOMs) containers (TBD) - Do Not Deep Freeze</v>
      </c>
      <c r="E66" s="23">
        <v>238</v>
      </c>
      <c r="F66" s="23">
        <v>96</v>
      </c>
      <c r="G66" s="445">
        <v>114</v>
      </c>
      <c r="H66" s="23">
        <v>0</v>
      </c>
      <c r="I66" s="4">
        <v>0</v>
      </c>
      <c r="J66" s="4">
        <v>5115</v>
      </c>
      <c r="K66" s="4">
        <v>0</v>
      </c>
      <c r="L66" s="445" t="str">
        <v>actual(**)</v>
      </c>
      <c r="M66" s="6" t="str">
        <v>DNDF [-40C]</v>
      </c>
      <c r="N66" s="10" t="str">
        <v>MSU</v>
      </c>
      <c r="O66" s="435">
        <v>366</v>
      </c>
      <c r="P66" s="428">
        <v>45139</v>
      </c>
      <c r="Q66" s="429" t="str">
        <v>MSU - PTH</v>
      </c>
      <c r="R66" s="428">
        <v>45505</v>
      </c>
      <c r="S66" s="431" t="str">
        <v>Truck</v>
      </c>
      <c r="T66" s="431" t="str">
        <v>PTH - CHC</v>
      </c>
      <c r="U66" s="431" t="str">
        <v>-</v>
      </c>
      <c r="V66" s="433" t="str">
        <v>ComSur</v>
      </c>
      <c r="W66" s="433" t="str">
        <v>CHC - MCM</v>
      </c>
      <c r="X66" s="433" t="str">
        <v>-</v>
      </c>
      <c r="Y66" s="435" t="str">
        <v>USAP Air</v>
      </c>
      <c r="Z66" s="434">
        <v>45597</v>
      </c>
      <c r="AA66" s="427" t="str">
        <v>-</v>
      </c>
      <c r="AB66" s="435" t="str">
        <v>LC-130</v>
      </c>
      <c r="AC66" s="409">
        <v>45621</v>
      </c>
      <c r="AD66" s="409" t="str">
        <v>Yes</v>
      </c>
      <c r="AE66" s="409" t="str">
        <v>FY25 inter</v>
      </c>
      <c r="AF66" s="409" t="str">
        <v>FY25 intra</v>
      </c>
      <c r="AG66" s="409" t="str">
        <v>T. Karg</v>
      </c>
      <c r="AH66" s="409">
        <v>44459</v>
      </c>
      <c r="AI66" s="409" t="str">
        <v>D. Tosi</v>
      </c>
      <c r="AJ66" s="409">
        <v>44461</v>
      </c>
      <c r="AK66" s="409" t="str">
        <v>Assume 2x20HC containers for transport on COMSUR (TBC). Pallets could be loaded to 53 ft truck and loaded into a loaned container in PTH but this would increase touch points (and risk)</v>
      </c>
      <c r="AL66" s="9"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hidden="1" customHeight="1" thickTop="1">
      <c r="A68" s="25">
        <v>1.3</v>
      </c>
      <c r="B68" s="48" t="str">
        <v>Installation</v>
      </c>
      <c r="C68" s="3" t="str">
        <v>DM-Ice</v>
      </c>
      <c r="D68" s="3" t="str">
        <v>DM-ice (two modules for string 89 and 90) - Do Not Deep Freeze</v>
      </c>
      <c r="E68" s="23">
        <v>48</v>
      </c>
      <c r="F68" s="23">
        <v>48</v>
      </c>
      <c r="G68" s="23">
        <v>48</v>
      </c>
      <c r="H68" s="23">
        <v>1</v>
      </c>
      <c r="I68" s="4">
        <v>64</v>
      </c>
      <c r="J68" s="4">
        <v>1500</v>
      </c>
      <c r="K68" s="4">
        <v>1500</v>
      </c>
      <c r="L68" s="445" t="str">
        <v>estimated</v>
      </c>
      <c r="M68" s="6" t="str">
        <v>DNDF [-40C]</v>
      </c>
      <c r="N68" s="10" t="str">
        <v>Yale</v>
      </c>
      <c r="O68" s="435">
        <v>61</v>
      </c>
      <c r="P68" s="428">
        <v>45444</v>
      </c>
      <c r="Q68" s="429" t="str">
        <v>Yale - PTH</v>
      </c>
      <c r="R68" s="428">
        <v>45505</v>
      </c>
      <c r="S68" s="431" t="str">
        <v>Truck</v>
      </c>
      <c r="T68" s="431" t="str">
        <v>PTH - CHC</v>
      </c>
      <c r="U68" s="431" t="str">
        <v>-</v>
      </c>
      <c r="V68" s="433" t="str">
        <v>ComSur</v>
      </c>
      <c r="W68" s="433" t="str">
        <v>CHC - MCM</v>
      </c>
      <c r="X68" s="433" t="str">
        <v>-</v>
      </c>
      <c r="Y68" s="435" t="str">
        <v>USAP Air</v>
      </c>
      <c r="Z68" s="434">
        <v>45597</v>
      </c>
      <c r="AA68" s="427" t="str">
        <v>-</v>
      </c>
      <c r="AB68" s="435" t="str">
        <v>LC-130</v>
      </c>
      <c r="AC68" s="409">
        <v>45621</v>
      </c>
      <c r="AD68" s="409" t="str">
        <v>Yes</v>
      </c>
      <c r="AE68" s="409" t="str">
        <v>FY25 inter</v>
      </c>
      <c r="AF68" s="409" t="str">
        <v>FY25 intra</v>
      </c>
      <c r="AG68" s="409" t="str">
        <v>M. Kauer</v>
      </c>
      <c r="AH68" s="409">
        <v>44459</v>
      </c>
      <c r="AI68" s="409" t="str">
        <v>D. Tosi</v>
      </c>
      <c r="AJ68" s="409">
        <v>44459</v>
      </c>
      <c r="AK68" s="409" t="str">
        <v/>
      </c>
      <c r="AL68" s="9"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ht="68.099999999999994" hidden="1">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35">
        <v>122</v>
      </c>
      <c r="P70" s="428">
        <v>45017</v>
      </c>
      <c r="Q70" s="429" t="str">
        <v>DESY - CHC</v>
      </c>
      <c r="R70" s="428">
        <v>45139</v>
      </c>
      <c r="S70" s="431" t="str">
        <v>ComSur</v>
      </c>
      <c r="T70" s="431" t="str">
        <v>DESY-CHC</v>
      </c>
      <c r="U70" s="431" t="str">
        <v>-</v>
      </c>
      <c r="V70" s="433" t="str">
        <v>ComSur</v>
      </c>
      <c r="W70" s="433" t="str">
        <v>CHC - MCM</v>
      </c>
      <c r="X70" s="433" t="str">
        <v>-</v>
      </c>
      <c r="Y70" s="435" t="str">
        <v>USAP  Air</v>
      </c>
      <c r="Z70" s="434">
        <v>45231</v>
      </c>
      <c r="AA70" s="427" t="str">
        <v>-</v>
      </c>
      <c r="AB70" s="435" t="str">
        <v>LC-130</v>
      </c>
      <c r="AC70" s="409">
        <v>45306</v>
      </c>
      <c r="AD70" s="409" t="str">
        <v>Yes</v>
      </c>
      <c r="AE70" s="409" t="str">
        <v>FY24 inter</v>
      </c>
      <c r="AF70" s="409" t="str">
        <v>FY24 intra</v>
      </c>
      <c r="AG70" s="409" t="str">
        <v>T. Karg</v>
      </c>
      <c r="AH70" s="409">
        <v>44459</v>
      </c>
      <c r="AI70" s="409" t="str">
        <v>D. Tosi</v>
      </c>
      <c r="AJ70" s="409">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ht="68.099999999999994" hidden="1">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35">
        <v>122</v>
      </c>
      <c r="P71" s="428">
        <v>45017</v>
      </c>
      <c r="Q71" s="429" t="str">
        <v>DESY - CHC</v>
      </c>
      <c r="R71" s="428">
        <v>45139</v>
      </c>
      <c r="S71" s="431" t="str">
        <v>ComSur</v>
      </c>
      <c r="T71" s="431" t="str">
        <v>DESY-CHC</v>
      </c>
      <c r="U71" s="431" t="str">
        <v>-</v>
      </c>
      <c r="V71" s="433" t="str">
        <v>ComSur</v>
      </c>
      <c r="W71" s="433" t="str">
        <v>CHC - MCM</v>
      </c>
      <c r="X71" s="433" t="str">
        <v>-</v>
      </c>
      <c r="Y71" s="435" t="str">
        <v>USAP  Air</v>
      </c>
      <c r="Z71" s="434">
        <v>45231</v>
      </c>
      <c r="AA71" s="427" t="str">
        <v>-</v>
      </c>
      <c r="AB71" s="435" t="str">
        <v>LC-130</v>
      </c>
      <c r="AC71" s="409">
        <v>45306</v>
      </c>
      <c r="AD71" s="409" t="str">
        <v>Yes</v>
      </c>
      <c r="AE71" s="409" t="str">
        <v>FY24 inter</v>
      </c>
      <c r="AF71" s="409" t="str">
        <v>FY24 intra</v>
      </c>
      <c r="AG71" s="409" t="str">
        <v>T. Karg</v>
      </c>
      <c r="AH71" s="409">
        <v>44459</v>
      </c>
      <c r="AI71" s="409" t="str">
        <v>D. Tosi</v>
      </c>
      <c r="AJ71" s="409">
        <v>44461</v>
      </c>
      <c r="AK71" s="409" t="str">
        <v>mDOM weight is 62 lbs (25kg/sensor + 3 kg/box) + 35kg pallet, assume 8 mDOMs/pallet - shipped in 20 HC container. Container weight not included in the assumption that pallet will be taken out in CHC.</v>
      </c>
      <c r="AL71" s="9" t="str">
        <v/>
      </c>
    </row>
    <row r="72" spans="1:40" ht="33.950000000000003" hidden="1">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35">
        <v>212</v>
      </c>
      <c r="P72" s="428">
        <v>44927</v>
      </c>
      <c r="Q72" s="429" t="str">
        <v>DESY - CHC</v>
      </c>
      <c r="R72" s="428">
        <v>45139</v>
      </c>
      <c r="S72" s="431" t="str">
        <v>ComSur</v>
      </c>
      <c r="T72" s="431" t="str">
        <v>DESY-CHC</v>
      </c>
      <c r="U72" s="431" t="str">
        <v>-</v>
      </c>
      <c r="V72" s="433" t="str">
        <v>ComSur</v>
      </c>
      <c r="W72" s="433" t="str">
        <v>CHC - MCM</v>
      </c>
      <c r="X72" s="433" t="str">
        <v>-</v>
      </c>
      <c r="Y72" s="435" t="str">
        <v>USAP  Air</v>
      </c>
      <c r="Z72" s="434">
        <v>45231</v>
      </c>
      <c r="AA72" s="427" t="str">
        <v>-</v>
      </c>
      <c r="AB72" s="435" t="str">
        <v>LC-130</v>
      </c>
      <c r="AC72" s="409">
        <v>45306</v>
      </c>
      <c r="AD72" s="409" t="str">
        <v>Yes</v>
      </c>
      <c r="AE72" s="409" t="str">
        <v>FY24 inter</v>
      </c>
      <c r="AF72" s="409" t="str">
        <v>FY24 intra</v>
      </c>
      <c r="AG72" s="409" t="str">
        <v>S. Boeser</v>
      </c>
      <c r="AH72" s="409">
        <v>44482</v>
      </c>
      <c r="AI72" s="409" t="str">
        <v>D. Tosi</v>
      </c>
      <c r="AJ72" s="409">
        <v>44482</v>
      </c>
      <c r="AK72" s="409" t="str">
        <v xml:space="preserve">8 WOMs (no spares) - AH not included for now. Assume 150 lbs crate.  </v>
      </c>
      <c r="AL72" s="9" t="str">
        <v/>
      </c>
    </row>
    <row r="73" spans="1:40" ht="33.950000000000003" hidden="1">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35">
        <v>426</v>
      </c>
      <c r="P73" s="428">
        <v>44713</v>
      </c>
      <c r="Q73" s="429" t="str">
        <v>DESY - CHC</v>
      </c>
      <c r="R73" s="428">
        <v>45139</v>
      </c>
      <c r="S73" s="431" t="str">
        <v>ComSur</v>
      </c>
      <c r="T73" s="431" t="str">
        <v>DESY-CHC</v>
      </c>
      <c r="U73" s="431" t="str">
        <v>-</v>
      </c>
      <c r="V73" s="433" t="str">
        <v>ComSur</v>
      </c>
      <c r="W73" s="433" t="str">
        <v>CHC-MCM</v>
      </c>
      <c r="X73" s="433" t="str">
        <v>-</v>
      </c>
      <c r="Y73" s="435" t="str">
        <v>USAP  Air</v>
      </c>
      <c r="Z73" s="434">
        <v>45231</v>
      </c>
      <c r="AA73" s="427" t="str">
        <v>-</v>
      </c>
      <c r="AB73" s="435" t="str">
        <v>LC-130</v>
      </c>
      <c r="AC73" s="409">
        <v>45306</v>
      </c>
      <c r="AD73" s="409" t="str">
        <v>Yes</v>
      </c>
      <c r="AE73" s="409" t="str">
        <v>FY24 inter</v>
      </c>
      <c r="AF73" s="409" t="str">
        <v>FY24 intra</v>
      </c>
      <c r="AG73" s="409" t="str">
        <v>D. Williams</v>
      </c>
      <c r="AH73" s="409">
        <v>44482</v>
      </c>
      <c r="AI73" s="409" t="str">
        <v>D. Tosi</v>
      </c>
      <c r="AJ73" s="409">
        <v>44482</v>
      </c>
      <c r="AK73" s="409" t="str">
        <v>Calibration devices for strings 87-88 = 2+1 Sweden Camera + 3+1 Acoustic Module + 4+1 POCAM, including spares, 200 lbs crate</v>
      </c>
      <c r="AL73" s="9" t="str">
        <v/>
      </c>
    </row>
    <row r="74" spans="1:40" ht="33.950000000000003" hidden="1">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35">
        <v>14</v>
      </c>
      <c r="P74" s="428">
        <v>45139</v>
      </c>
      <c r="Q74" s="429" t="str">
        <v>DESY - CHC</v>
      </c>
      <c r="R74" s="428">
        <v>45153</v>
      </c>
      <c r="S74" s="431" t="str">
        <v>ComSur</v>
      </c>
      <c r="T74" s="431" t="str">
        <v>DESY-CHC</v>
      </c>
      <c r="U74" s="431" t="str">
        <v>-</v>
      </c>
      <c r="V74" s="433" t="str">
        <v>ComSur</v>
      </c>
      <c r="W74" s="433" t="str">
        <v>CHC-MCM</v>
      </c>
      <c r="X74" s="433" t="str">
        <v>-</v>
      </c>
      <c r="Y74" s="435" t="str">
        <v>USAP  Air</v>
      </c>
      <c r="Z74" s="434">
        <v>45231</v>
      </c>
      <c r="AA74" s="427" t="str">
        <v>-</v>
      </c>
      <c r="AB74" s="435" t="str">
        <v>LC-130</v>
      </c>
      <c r="AC74" s="409">
        <v>45261</v>
      </c>
      <c r="AD74" s="409" t="str">
        <v>No</v>
      </c>
      <c r="AE74" s="409" t="str">
        <v>FY24 inter</v>
      </c>
      <c r="AF74" s="409" t="str">
        <v>FY24 intra</v>
      </c>
      <c r="AG74" s="409" t="str">
        <v>J. Kelley</v>
      </c>
      <c r="AH74" s="409">
        <v>44482</v>
      </c>
      <c r="AI74" s="409" t="str">
        <v>D. Tosi</v>
      </c>
      <c r="AJ74" s="409">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hidden="1">
      <c r="A75" s="25">
        <v>1.3</v>
      </c>
      <c r="B75" s="48" t="str">
        <v>Installation</v>
      </c>
      <c r="C75" s="3" t="str">
        <v>String Sensors 89-93</v>
      </c>
      <c r="D75" s="3" t="str">
        <v>Optical sensors for 5 strings from Germany (mDOMs) - Do Not Deep Freeze</v>
      </c>
      <c r="E75" s="23">
        <v>40</v>
      </c>
      <c r="F75" s="23">
        <v>48</v>
      </c>
      <c r="G75" s="445">
        <v>46</v>
      </c>
      <c r="H75" s="23">
        <v>12</v>
      </c>
      <c r="I75" s="4">
        <v>613.33333333333337</v>
      </c>
      <c r="J75" s="4">
        <v>573</v>
      </c>
      <c r="K75" s="4">
        <v>6876</v>
      </c>
      <c r="L75" s="445" t="str">
        <v>actual(**)</v>
      </c>
      <c r="M75" s="6" t="str">
        <v>DNDF [-40C]</v>
      </c>
      <c r="N75" s="10" t="str">
        <v>DESY</v>
      </c>
      <c r="O75" s="435">
        <v>397</v>
      </c>
      <c r="P75" s="428">
        <v>45108</v>
      </c>
      <c r="Q75" s="429" t="str">
        <v>DESY - CHC</v>
      </c>
      <c r="R75" s="428">
        <v>45505</v>
      </c>
      <c r="S75" s="431" t="str">
        <v>ComSur</v>
      </c>
      <c r="T75" s="431" t="str">
        <v>DESY-CHC</v>
      </c>
      <c r="U75" s="431" t="str">
        <v>-</v>
      </c>
      <c r="V75" s="433" t="str">
        <v>ComSur</v>
      </c>
      <c r="W75" s="433" t="str">
        <v>CHC - MCM</v>
      </c>
      <c r="X75" s="433" t="str">
        <v>-</v>
      </c>
      <c r="Y75" s="435" t="str">
        <v>USAP  Air</v>
      </c>
      <c r="Z75" s="434">
        <v>45597</v>
      </c>
      <c r="AA75" s="427" t="str">
        <v>-</v>
      </c>
      <c r="AB75" s="435" t="str">
        <v>LC-130</v>
      </c>
      <c r="AC75" s="409">
        <v>45621</v>
      </c>
      <c r="AD75" s="409" t="str">
        <v>Yes</v>
      </c>
      <c r="AE75" s="409" t="str">
        <v>FY25 inter</v>
      </c>
      <c r="AF75" s="409" t="str">
        <v>FY25 intra</v>
      </c>
      <c r="AG75" s="409" t="str">
        <v>T. Karg</v>
      </c>
      <c r="AH75" s="409">
        <v>44459</v>
      </c>
      <c r="AI75" s="409" t="str">
        <v>D. Tosi</v>
      </c>
      <c r="AJ75" s="409">
        <v>44461</v>
      </c>
      <c r="AK75" s="409" t="str">
        <v>mDOM weight is (28kg/sensor boxed) + 35kg pallet, assume 8 mDOMs/pallet - 190 to be deployed + 10 spares. (**) shipped in 20 HC container. Container not included in weight as pallets will be taken out.</v>
      </c>
      <c r="AL75" s="9" t="str">
        <v/>
      </c>
    </row>
    <row r="76" spans="1:40" ht="33.950000000000003" hidden="1">
      <c r="A76" s="25">
        <v>1.3</v>
      </c>
      <c r="B76" s="48" t="str">
        <v>Installation</v>
      </c>
      <c r="C76" s="3" t="str">
        <v>Special Devices 89-93</v>
      </c>
      <c r="D76" s="3" t="str">
        <v>Special devices for 5 remaining strings from DESY/Germany/Sweden (6 WOMs,  3 Abalone Hubs or WOM Traps)  no spares - Do Not Deep Freeze</v>
      </c>
      <c r="E76" s="23">
        <v>32</v>
      </c>
      <c r="F76" s="23">
        <v>31</v>
      </c>
      <c r="G76" s="23">
        <v>89</v>
      </c>
      <c r="H76" s="23">
        <v>1</v>
      </c>
      <c r="I76" s="4">
        <v>51.092592592592595</v>
      </c>
      <c r="J76" s="4">
        <v>1035</v>
      </c>
      <c r="K76" s="4">
        <v>1035</v>
      </c>
      <c r="L76" s="445" t="str">
        <v>preliminary</v>
      </c>
      <c r="M76" s="38" t="str">
        <v>DNDF [-40C]</v>
      </c>
      <c r="N76" s="10" t="str">
        <v>Mainz</v>
      </c>
      <c r="O76" s="435">
        <v>213</v>
      </c>
      <c r="P76" s="428">
        <v>45292</v>
      </c>
      <c r="Q76" s="429" t="str">
        <v>DESY - CHC</v>
      </c>
      <c r="R76" s="428">
        <v>45505</v>
      </c>
      <c r="S76" s="431" t="str">
        <v>ComSur</v>
      </c>
      <c r="T76" s="431" t="str">
        <v>DESY-CHC</v>
      </c>
      <c r="U76" s="431" t="str">
        <v>-</v>
      </c>
      <c r="V76" s="433" t="str">
        <v>ComSur</v>
      </c>
      <c r="W76" s="433" t="str">
        <v>CHC - MCM</v>
      </c>
      <c r="X76" s="433" t="str">
        <v>-</v>
      </c>
      <c r="Y76" s="435" t="str">
        <v>USAP  Air</v>
      </c>
      <c r="Z76" s="434">
        <v>45597</v>
      </c>
      <c r="AA76" s="427" t="str">
        <v>-</v>
      </c>
      <c r="AB76" s="435" t="str">
        <v>LC-130</v>
      </c>
      <c r="AC76" s="409">
        <v>45621</v>
      </c>
      <c r="AD76" s="409" t="str">
        <v>Yes</v>
      </c>
      <c r="AE76" s="409" t="str">
        <v>FY25 inter</v>
      </c>
      <c r="AF76" s="409" t="str">
        <v>FY25 intra</v>
      </c>
      <c r="AG76" s="409" t="str">
        <v>S. Boeser</v>
      </c>
      <c r="AH76" s="409">
        <v>44482</v>
      </c>
      <c r="AI76" s="409" t="str">
        <v>D. Tosi</v>
      </c>
      <c r="AJ76" s="409">
        <v>44482</v>
      </c>
      <c r="AK76" s="409" t="str">
        <v>6 Special Devices from Germany 6 (WOM + 0 AH) including 0 spare for each. Assume 170 lbs crate.</v>
      </c>
      <c r="AL76" s="9" t="str">
        <v/>
      </c>
    </row>
    <row r="77" spans="1:40" ht="50.25" hidden="1" customHeight="1">
      <c r="A77" s="25">
        <v>1.5</v>
      </c>
      <c r="B77" s="48" t="str">
        <v>Installation</v>
      </c>
      <c r="C77" s="3" t="str">
        <v>Calibration Devices 89-93</v>
      </c>
      <c r="D77" s="3" t="str">
        <v>Calibration for 5 strings from DESY/Germany/Sweden (17+2 POCAMs, 7+ 1 Acoustic sensors,  3+ 1 Swedish Cameras) including spares - Do Not Deep Freeze</v>
      </c>
      <c r="E77" s="92">
        <v>62</v>
      </c>
      <c r="F77" s="92">
        <v>48</v>
      </c>
      <c r="G77" s="92">
        <v>44</v>
      </c>
      <c r="H77" s="23">
        <v>1</v>
      </c>
      <c r="I77" s="4">
        <v>75.777777777777771</v>
      </c>
      <c r="J77" s="4">
        <v>1694</v>
      </c>
      <c r="K77" s="4">
        <v>1694</v>
      </c>
      <c r="L77" s="445" t="str">
        <v>preliminary</v>
      </c>
      <c r="M77" s="6" t="str">
        <v>DNDF [-40C]</v>
      </c>
      <c r="N77" s="10" t="str">
        <v>TUM/Aachen/Sweden</v>
      </c>
      <c r="O77" s="435">
        <v>792</v>
      </c>
      <c r="P77" s="428">
        <v>44713</v>
      </c>
      <c r="Q77" s="429" t="str">
        <v>DESY - CHC</v>
      </c>
      <c r="R77" s="428">
        <v>45505</v>
      </c>
      <c r="S77" s="431" t="str">
        <v>ComSur</v>
      </c>
      <c r="T77" s="431" t="str">
        <v>DESY-CHC</v>
      </c>
      <c r="U77" s="431" t="str">
        <v>-</v>
      </c>
      <c r="V77" s="433" t="str">
        <v>ComSur</v>
      </c>
      <c r="W77" s="433" t="str">
        <v>CHC-MCM</v>
      </c>
      <c r="X77" s="433" t="str">
        <v>-</v>
      </c>
      <c r="Y77" s="435" t="str">
        <v>USAP  Air</v>
      </c>
      <c r="Z77" s="434">
        <v>45597</v>
      </c>
      <c r="AA77" s="427" t="str">
        <v>-</v>
      </c>
      <c r="AB77" s="435" t="str">
        <v>LC-130</v>
      </c>
      <c r="AC77" s="409">
        <v>45621</v>
      </c>
      <c r="AD77" s="409" t="str">
        <v>Yes</v>
      </c>
      <c r="AE77" s="409" t="str">
        <v>FY25 inter</v>
      </c>
      <c r="AF77" s="409" t="str">
        <v>FY25 intra</v>
      </c>
      <c r="AG77" s="409" t="str">
        <v>D. Williams</v>
      </c>
      <c r="AH77" s="409">
        <v>44482</v>
      </c>
      <c r="AI77" s="409" t="str">
        <v>D. Tosi</v>
      </c>
      <c r="AJ77" s="409">
        <v>44482</v>
      </c>
      <c r="AK77" s="409" t="str">
        <v>Calibration devices for strings 89-93 = 3+1 Sweden Camera,7+1 + Acoustic Module,17 +1 POCAM, including spares, 200 lbs crate</v>
      </c>
      <c r="AL77" s="9"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ht="51" hidden="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35">
        <v>426</v>
      </c>
      <c r="P79" s="428">
        <v>44713</v>
      </c>
      <c r="Q79" s="429" t="str">
        <v>ChibaU - CHC</v>
      </c>
      <c r="R79" s="428">
        <v>45139</v>
      </c>
      <c r="S79" s="431" t="str">
        <v>Cargo shipment by CHU</v>
      </c>
      <c r="T79" s="431" t="str">
        <v>ChibaU - CHC</v>
      </c>
      <c r="U79" s="431" t="str">
        <v>-</v>
      </c>
      <c r="V79" s="433" t="str">
        <v>ComSur</v>
      </c>
      <c r="W79" s="76" t="str">
        <v>CHC - MCM</v>
      </c>
      <c r="X79" s="433" t="str">
        <v>-</v>
      </c>
      <c r="Y79" s="435" t="str">
        <v>USAP Air</v>
      </c>
      <c r="Z79" s="434">
        <v>45231</v>
      </c>
      <c r="AA79" s="427" t="str">
        <v>-</v>
      </c>
      <c r="AB79" s="435" t="str">
        <v>LC-130</v>
      </c>
      <c r="AC79" s="409">
        <v>45306</v>
      </c>
      <c r="AD79" s="409" t="str">
        <v>Yes</v>
      </c>
      <c r="AE79" s="409" t="str">
        <v>FY24 inter</v>
      </c>
      <c r="AF79" s="409" t="str">
        <v>FY24 intra</v>
      </c>
      <c r="AG79" s="409" t="str">
        <v>S. Yoshida</v>
      </c>
      <c r="AH79" s="409">
        <v>44461</v>
      </c>
      <c r="AI79" s="409" t="str">
        <v>D. Tosi</v>
      </c>
      <c r="AJ79" s="409">
        <v>44461</v>
      </c>
      <c r="AK79" s="409" t="str">
        <v>Pallet sizes are under review. shipped in 20 and 40ft container. Container weight not included in the assumption that pallet will be taken out in CHC.</v>
      </c>
      <c r="AL79" s="9" t="str">
        <v/>
      </c>
    </row>
    <row r="80" spans="1:40" ht="51" hidden="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35">
        <v>426</v>
      </c>
      <c r="P80" s="428">
        <v>44713</v>
      </c>
      <c r="Q80" s="429" t="str">
        <v>ChibaU - CHC</v>
      </c>
      <c r="R80" s="428">
        <v>45139</v>
      </c>
      <c r="S80" s="431" t="str">
        <v>Cargo shipment by CHU</v>
      </c>
      <c r="T80" s="431" t="str">
        <v>ChibaU - CHC</v>
      </c>
      <c r="U80" s="431" t="str">
        <v>-</v>
      </c>
      <c r="V80" s="433" t="str">
        <v>ComSur</v>
      </c>
      <c r="W80" s="76" t="str">
        <v>CHC - MCM</v>
      </c>
      <c r="X80" s="433" t="str">
        <v>-</v>
      </c>
      <c r="Y80" s="435" t="str">
        <v>USAP Air</v>
      </c>
      <c r="Z80" s="434">
        <v>45231</v>
      </c>
      <c r="AA80" s="427" t="str">
        <v>-</v>
      </c>
      <c r="AB80" s="435" t="str">
        <v>LC-130</v>
      </c>
      <c r="AC80" s="409">
        <v>45306</v>
      </c>
      <c r="AD80" s="409" t="str">
        <v>Yes</v>
      </c>
      <c r="AE80" s="409" t="str">
        <v>FY24 inter</v>
      </c>
      <c r="AF80" s="409" t="str">
        <v>FY24 intra</v>
      </c>
      <c r="AG80" s="409" t="str">
        <v>S. Yoshida</v>
      </c>
      <c r="AH80" s="409">
        <v>44461</v>
      </c>
      <c r="AI80" s="409" t="str">
        <v>D. Tosi</v>
      </c>
      <c r="AJ80" s="409">
        <v>44461</v>
      </c>
      <c r="AK80" s="409" t="str">
        <v>Pallet sizes are under review. SPARES number to be confirmed.  shipped in 20 and 40ft container. Container weight not included in the assumption that pallet will be taken out in CHC.</v>
      </c>
      <c r="AL80" s="9" t="str">
        <v/>
      </c>
    </row>
    <row r="81" spans="1:40" ht="51" hidden="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35">
        <v>426</v>
      </c>
      <c r="P81" s="428">
        <v>44713</v>
      </c>
      <c r="Q81" s="429" t="str">
        <v>ChibaU - CHC</v>
      </c>
      <c r="R81" s="428">
        <v>45139</v>
      </c>
      <c r="S81" s="431" t="str">
        <v>Cargo shipment by CHU</v>
      </c>
      <c r="T81" s="431" t="str">
        <v>ChibaU - CHC</v>
      </c>
      <c r="U81" s="431" t="str">
        <v>-</v>
      </c>
      <c r="V81" s="433" t="str">
        <v>ComSur</v>
      </c>
      <c r="W81" s="76" t="str">
        <v>CHC - MCM</v>
      </c>
      <c r="X81" s="433" t="str">
        <v>-</v>
      </c>
      <c r="Y81" s="435" t="str">
        <v>USAP Air</v>
      </c>
      <c r="Z81" s="434">
        <v>45231</v>
      </c>
      <c r="AA81" s="427" t="str">
        <v>-</v>
      </c>
      <c r="AB81" s="435" t="str">
        <v>LC-130</v>
      </c>
      <c r="AC81" s="409">
        <v>45306</v>
      </c>
      <c r="AD81" s="409" t="str">
        <v>Yes</v>
      </c>
      <c r="AE81" s="409" t="str">
        <v>FY24 inter</v>
      </c>
      <c r="AF81" s="409" t="str">
        <v>FY24 intra</v>
      </c>
      <c r="AG81" s="409" t="str">
        <v>S. Yoshida</v>
      </c>
      <c r="AH81" s="409">
        <v>44461</v>
      </c>
      <c r="AI81" s="409" t="str">
        <v>D. Tosi</v>
      </c>
      <c r="AJ81" s="409">
        <v>44461</v>
      </c>
      <c r="AK81" s="409" t="str">
        <v>Pallet sizes are under review. shipped in 20 and 40ft container. Container weight not included in the assumption that pallet will be taken out in CHC.</v>
      </c>
      <c r="AL81" s="9" t="str">
        <v/>
      </c>
    </row>
    <row r="82" spans="1:40" ht="51" hidden="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35">
        <v>426</v>
      </c>
      <c r="P82" s="428">
        <v>44713</v>
      </c>
      <c r="Q82" s="429" t="str">
        <v>ChibaU - CHC</v>
      </c>
      <c r="R82" s="428">
        <v>45139</v>
      </c>
      <c r="S82" s="431" t="str">
        <v>Cargo shipment by CHU</v>
      </c>
      <c r="T82" s="431" t="str">
        <v>ChibaU - CHC</v>
      </c>
      <c r="U82" s="431" t="str">
        <v>-</v>
      </c>
      <c r="V82" s="433" t="str">
        <v>ComSur</v>
      </c>
      <c r="W82" s="76" t="str">
        <v>CHC - MCM</v>
      </c>
      <c r="X82" s="433" t="str">
        <v>-</v>
      </c>
      <c r="Y82" s="435" t="str">
        <v>USAP Air</v>
      </c>
      <c r="Z82" s="434">
        <v>45231</v>
      </c>
      <c r="AA82" s="427" t="str">
        <v>-</v>
      </c>
      <c r="AB82" s="435" t="str">
        <v>LC-130</v>
      </c>
      <c r="AC82" s="409">
        <v>45306</v>
      </c>
      <c r="AD82" s="409" t="str">
        <v>Yes</v>
      </c>
      <c r="AE82" s="409" t="str">
        <v>FY24 inter</v>
      </c>
      <c r="AF82" s="409" t="str">
        <v>FY24 intra</v>
      </c>
      <c r="AG82" s="409" t="str">
        <v>S. Yoshida</v>
      </c>
      <c r="AH82" s="409">
        <v>44461</v>
      </c>
      <c r="AI82" s="409" t="str">
        <v>D. Tosi</v>
      </c>
      <c r="AJ82" s="409">
        <v>44461</v>
      </c>
      <c r="AK82" s="409" t="str">
        <v>Pallet sizes are under review. SPARES number to be confirmed. shipped in 20 and 40ft container. Container weight not included in the assumption that pallet will be taken out in CHC.</v>
      </c>
      <c r="AL82" s="9" t="str">
        <v/>
      </c>
    </row>
    <row r="83" spans="1:40" ht="51" hidden="1">
      <c r="A83" s="72">
        <v>1.3</v>
      </c>
      <c r="B83" s="48" t="str">
        <v>Installation</v>
      </c>
      <c r="C83" s="1" t="str">
        <v>String Sensors 89-93</v>
      </c>
      <c r="D83" s="1" t="str">
        <v>Sensors (D-Eggs) pallets with 8 sensors in McMurdo overwinter - Do Not Deep Freeze</v>
      </c>
      <c r="E83" s="38">
        <v>41</v>
      </c>
      <c r="F83" s="38">
        <v>41</v>
      </c>
      <c r="G83" s="38">
        <v>69</v>
      </c>
      <c r="H83" s="38">
        <v>10</v>
      </c>
      <c r="I83" s="4">
        <v>671.23263888888891</v>
      </c>
      <c r="J83" s="4">
        <v>750</v>
      </c>
      <c r="K83" s="4">
        <v>7500</v>
      </c>
      <c r="L83" s="445" t="str">
        <v>actual</v>
      </c>
      <c r="M83" s="6" t="str">
        <v>DNDF [-40C]</v>
      </c>
      <c r="N83" s="10" t="str">
        <v>Chiba</v>
      </c>
      <c r="O83" s="435">
        <v>61</v>
      </c>
      <c r="P83" s="428">
        <v>45078</v>
      </c>
      <c r="Q83" s="429" t="str">
        <v>ChibaU - CHC</v>
      </c>
      <c r="R83" s="428">
        <v>45139</v>
      </c>
      <c r="S83" s="431" t="str">
        <v>Cargo shipment by CHU</v>
      </c>
      <c r="T83" s="431" t="str">
        <v>ChibaU - CHC</v>
      </c>
      <c r="U83" s="431" t="str">
        <v>-</v>
      </c>
      <c r="V83" s="433" t="str">
        <v>ComSur</v>
      </c>
      <c r="W83" s="76" t="str">
        <v>CHC - MCM</v>
      </c>
      <c r="X83" s="433" t="str">
        <v>-</v>
      </c>
      <c r="Y83" s="435" t="str">
        <v>USAP Air</v>
      </c>
      <c r="Z83" s="434">
        <v>45597</v>
      </c>
      <c r="AA83" s="427" t="str">
        <v>-</v>
      </c>
      <c r="AB83" s="435" t="str">
        <v>LC-130</v>
      </c>
      <c r="AC83" s="409">
        <v>45621</v>
      </c>
      <c r="AD83" s="409" t="str">
        <v>Yes</v>
      </c>
      <c r="AE83" s="409" t="str">
        <v>FY25 inter</v>
      </c>
      <c r="AF83" s="409" t="str">
        <v>FY25 intra</v>
      </c>
      <c r="AG83" s="409" t="str">
        <v>S. Yoshida</v>
      </c>
      <c r="AH83" s="409">
        <v>44461</v>
      </c>
      <c r="AI83" s="409" t="str">
        <v>D. Tosi</v>
      </c>
      <c r="AJ83" s="409">
        <v>44461</v>
      </c>
      <c r="AK83" s="409" t="str">
        <v>Pallet sizes are under review. shipped in 20 and 40ft container. Container weight not included in the assumption that pallet will be taken out in CHC.</v>
      </c>
      <c r="AL83" s="9" t="str">
        <v/>
      </c>
    </row>
    <row r="84" spans="1:40" ht="51" hidden="1">
      <c r="A84" s="72">
        <v>1.3</v>
      </c>
      <c r="B84" s="48" t="str">
        <v>Installation</v>
      </c>
      <c r="C84" s="1" t="str">
        <v>String Sensors 89-93</v>
      </c>
      <c r="D84" s="1" t="str">
        <v>Sensors (D-Eggs) pallets with 12 sensors  in McMurdo overwinter - Do Not Deep Freeze</v>
      </c>
      <c r="E84" s="38">
        <v>60</v>
      </c>
      <c r="F84" s="38">
        <v>41</v>
      </c>
      <c r="G84" s="38">
        <v>69</v>
      </c>
      <c r="H84" s="38">
        <v>10</v>
      </c>
      <c r="I84" s="4">
        <v>982.29166666666674</v>
      </c>
      <c r="J84" s="4">
        <v>1102</v>
      </c>
      <c r="K84" s="4">
        <v>11020</v>
      </c>
      <c r="L84" s="445" t="str">
        <v>actual</v>
      </c>
      <c r="M84" s="6" t="str">
        <v>DNDF [-40C]</v>
      </c>
      <c r="N84" s="10" t="str">
        <v>Chiba</v>
      </c>
      <c r="O84" s="435">
        <v>61</v>
      </c>
      <c r="P84" s="428">
        <v>45078</v>
      </c>
      <c r="Q84" s="429" t="str">
        <v>ChibaU - CHC</v>
      </c>
      <c r="R84" s="428">
        <v>45139</v>
      </c>
      <c r="S84" s="431" t="str">
        <v>Cargo shipment by CHU</v>
      </c>
      <c r="T84" s="431" t="str">
        <v>ChibaU - CHC</v>
      </c>
      <c r="U84" s="431" t="str">
        <v>-</v>
      </c>
      <c r="V84" s="433" t="str">
        <v>ComSur</v>
      </c>
      <c r="W84" s="76" t="str">
        <v>CHC - MCM</v>
      </c>
      <c r="X84" s="433" t="str">
        <v>-</v>
      </c>
      <c r="Y84" s="435" t="str">
        <v>USAP Air</v>
      </c>
      <c r="Z84" s="434">
        <v>45597</v>
      </c>
      <c r="AA84" s="427" t="str">
        <v>-</v>
      </c>
      <c r="AB84" s="435" t="str">
        <v>LC-130</v>
      </c>
      <c r="AC84" s="409">
        <v>45621</v>
      </c>
      <c r="AD84" s="409" t="str">
        <v>Yes</v>
      </c>
      <c r="AE84" s="409" t="str">
        <v>FY25 inter</v>
      </c>
      <c r="AF84" s="409" t="str">
        <v>FY25 intra</v>
      </c>
      <c r="AG84" s="409" t="str">
        <v>S. Yoshida</v>
      </c>
      <c r="AH84" s="409">
        <v>44461</v>
      </c>
      <c r="AI84" s="409" t="str">
        <v>D. Tosi</v>
      </c>
      <c r="AJ84" s="409">
        <v>44461</v>
      </c>
      <c r="AK84" s="409" t="str">
        <v>Pallet sizes are under review. shipped in 20 and 40ft container. Container weight not included in the assumption that pallet will be taken out in CHC.</v>
      </c>
      <c r="AL84" s="9"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ht="17.100000000000001" hidden="1">
      <c r="A86" s="72">
        <v>1.2</v>
      </c>
      <c r="B86" s="48" t="str">
        <v>Fuel</v>
      </c>
      <c r="C86" s="1" t="str">
        <v>Field Season 1 Fuel</v>
      </c>
      <c r="D86" s="1" t="str">
        <v>Fuel to support FY23 field season - Base fuel</v>
      </c>
      <c r="E86" s="38" t="str">
        <v/>
      </c>
      <c r="F86" s="38" t="str">
        <v/>
      </c>
      <c r="G86" s="38" t="str">
        <v/>
      </c>
      <c r="H86" s="38">
        <v>3191</v>
      </c>
      <c r="I86" s="61">
        <v>426.57462315454006</v>
      </c>
      <c r="J86" s="61">
        <v>6.8</v>
      </c>
      <c r="K86" s="4">
        <v>21698.799999999999</v>
      </c>
      <c r="L86" s="103" t="str">
        <v>preliminary</v>
      </c>
      <c r="M86" s="40" t="str">
        <v/>
      </c>
      <c r="N86" s="10" t="str">
        <v/>
      </c>
      <c r="O86" s="435" t="str">
        <v/>
      </c>
      <c r="P86" s="428" t="str">
        <v>-</v>
      </c>
      <c r="Q86" s="429" t="str">
        <v>-</v>
      </c>
      <c r="R86" s="428" t="str">
        <v>-</v>
      </c>
      <c r="S86" s="431" t="str">
        <v>-</v>
      </c>
      <c r="T86" s="431" t="str">
        <v>-</v>
      </c>
      <c r="U86" s="431" t="str">
        <v>-</v>
      </c>
      <c r="V86" s="433" t="str">
        <v>-</v>
      </c>
      <c r="W86" s="76" t="str">
        <v>-</v>
      </c>
      <c r="X86" s="433" t="str">
        <v>-</v>
      </c>
      <c r="Y86" s="435" t="str">
        <v>-</v>
      </c>
      <c r="Z86" s="434">
        <v>44866</v>
      </c>
      <c r="AA86" s="427" t="str">
        <v>-</v>
      </c>
      <c r="AB86" s="435" t="str">
        <v>LC-130/SPoT</v>
      </c>
      <c r="AC86" s="409">
        <v>44896</v>
      </c>
      <c r="AD86" s="409" t="str">
        <v>Yes</v>
      </c>
      <c r="AE86" s="409" t="str">
        <v>FY23 inter</v>
      </c>
      <c r="AF86" s="409" t="str">
        <v>FY23 intra</v>
      </c>
      <c r="AG86" s="409" t="str">
        <v>T. Benson</v>
      </c>
      <c r="AH86" s="409">
        <v>44483</v>
      </c>
      <c r="AI86" s="409" t="str">
        <v>I. McEwen</v>
      </c>
      <c r="AJ86" s="409">
        <v>44483</v>
      </c>
      <c r="AK86" s="409" t="str">
        <v/>
      </c>
      <c r="AL86" s="9" t="str">
        <v/>
      </c>
    </row>
    <row r="87" spans="1:40" ht="17.100000000000001" hidden="1">
      <c r="A87" s="72">
        <v>1.2</v>
      </c>
      <c r="B87" s="48" t="str">
        <v/>
      </c>
      <c r="C87" s="1" t="str">
        <v>Field Season 1 Fuel Contingency</v>
      </c>
      <c r="D87" s="1" t="str">
        <v>Fuel to support FY23 field season - Contingency</v>
      </c>
      <c r="E87" s="38" t="str">
        <v/>
      </c>
      <c r="F87" s="38" t="str">
        <v/>
      </c>
      <c r="G87" s="38" t="str">
        <v/>
      </c>
      <c r="H87" s="4">
        <v>452</v>
      </c>
      <c r="I87" s="61">
        <v>60.423606915027293</v>
      </c>
      <c r="J87" s="61">
        <v>6.8</v>
      </c>
      <c r="K87" s="4">
        <v>3073.6</v>
      </c>
      <c r="L87" s="103" t="str">
        <v>preliminary</v>
      </c>
      <c r="M87" s="40" t="str">
        <v/>
      </c>
      <c r="N87" s="10" t="str">
        <v/>
      </c>
      <c r="O87" s="435" t="str">
        <v/>
      </c>
      <c r="P87" s="428" t="str">
        <v>-</v>
      </c>
      <c r="Q87" s="429" t="str">
        <v>-</v>
      </c>
      <c r="R87" s="428" t="str">
        <v>-</v>
      </c>
      <c r="S87" s="431" t="str">
        <v>-</v>
      </c>
      <c r="T87" s="431" t="str">
        <v>-</v>
      </c>
      <c r="U87" s="431" t="str">
        <v>-</v>
      </c>
      <c r="V87" s="433" t="str">
        <v>-</v>
      </c>
      <c r="W87" s="76" t="str">
        <v>-</v>
      </c>
      <c r="X87" s="433" t="str">
        <v>-</v>
      </c>
      <c r="Y87" s="435" t="str">
        <v>-</v>
      </c>
      <c r="Z87" s="434">
        <v>44866</v>
      </c>
      <c r="AA87" s="427" t="str">
        <v>-</v>
      </c>
      <c r="AB87" s="435" t="str">
        <v>LC-130/SPoT</v>
      </c>
      <c r="AC87" s="409">
        <v>44896</v>
      </c>
      <c r="AD87" s="409" t="str">
        <v>Yes</v>
      </c>
      <c r="AE87" s="409" t="str">
        <v>FY23 inter</v>
      </c>
      <c r="AF87" s="409" t="str">
        <v>FY23 intra</v>
      </c>
      <c r="AG87" s="409" t="str">
        <v>T. Benson</v>
      </c>
      <c r="AH87" s="409">
        <v>44483</v>
      </c>
      <c r="AI87" s="409" t="str">
        <v>I. McEwen</v>
      </c>
      <c r="AJ87" s="409">
        <v>44483</v>
      </c>
      <c r="AK87" s="409" t="str">
        <v/>
      </c>
      <c r="AL87" s="9" t="str">
        <v/>
      </c>
    </row>
    <row r="88" spans="1:40" ht="17.100000000000001" hidden="1">
      <c r="A88" s="72">
        <v>1.2</v>
      </c>
      <c r="B88" s="48" t="str">
        <v/>
      </c>
      <c r="C88" s="1" t="str">
        <v>Field Season 2 Fuel</v>
      </c>
      <c r="D88" s="1" t="str">
        <v>Fuel to support FY24 field season - Base fuel, firn drilling &amp; over winter heating</v>
      </c>
      <c r="E88" s="38" t="str">
        <v/>
      </c>
      <c r="F88" s="38" t="str">
        <v/>
      </c>
      <c r="G88" s="38" t="str">
        <v/>
      </c>
      <c r="H88" s="40">
        <v>18178</v>
      </c>
      <c r="I88" s="61">
        <v>2430.0449701357657</v>
      </c>
      <c r="J88" s="61">
        <v>6.8</v>
      </c>
      <c r="K88" s="4">
        <v>123610.4</v>
      </c>
      <c r="L88" s="103" t="str">
        <v>preliminary</v>
      </c>
      <c r="M88" s="40" t="str">
        <v/>
      </c>
      <c r="N88" s="10" t="str">
        <v/>
      </c>
      <c r="O88" s="435" t="str">
        <v/>
      </c>
      <c r="P88" s="428" t="str">
        <v>-</v>
      </c>
      <c r="Q88" s="429" t="str">
        <v>-</v>
      </c>
      <c r="R88" s="428" t="str">
        <v>-</v>
      </c>
      <c r="S88" s="431" t="str">
        <v>-</v>
      </c>
      <c r="T88" s="431" t="str">
        <v>-</v>
      </c>
      <c r="U88" s="431" t="str">
        <v>-</v>
      </c>
      <c r="V88" s="433" t="str">
        <v>-</v>
      </c>
      <c r="W88" s="76" t="str">
        <v>-</v>
      </c>
      <c r="X88" s="433" t="str">
        <v>-</v>
      </c>
      <c r="Y88" s="435" t="str">
        <v>-</v>
      </c>
      <c r="Z88" s="434">
        <v>45231</v>
      </c>
      <c r="AA88" s="427" t="str">
        <v>-</v>
      </c>
      <c r="AB88" s="435" t="str">
        <v>LC-130/SPoT</v>
      </c>
      <c r="AC88" s="409">
        <v>45261</v>
      </c>
      <c r="AD88" s="409" t="str">
        <v>Yes</v>
      </c>
      <c r="AE88" s="409" t="str">
        <v>FY24 inter</v>
      </c>
      <c r="AF88" s="409" t="str">
        <v>FY24 intra</v>
      </c>
      <c r="AG88" s="409" t="str">
        <v>T. Benson</v>
      </c>
      <c r="AH88" s="409">
        <v>44483</v>
      </c>
      <c r="AI88" s="409" t="str">
        <v>I. McEwen</v>
      </c>
      <c r="AJ88" s="409">
        <v>44483</v>
      </c>
      <c r="AK88" s="409" t="str">
        <v/>
      </c>
      <c r="AL88" s="9" t="str">
        <v/>
      </c>
    </row>
    <row r="89" spans="1:40" s="91" customFormat="1" ht="21" hidden="1" customHeight="1" thickBot="1">
      <c r="A89" s="53">
        <v>1.2</v>
      </c>
      <c r="B89" s="53" t="str">
        <v/>
      </c>
      <c r="C89" s="54" t="str">
        <v>Field Season 2 Fuel Contingency</v>
      </c>
      <c r="D89" s="55" t="str">
        <v>Fuel to suppport FY24 field season - Contingency</v>
      </c>
      <c r="E89" s="44" t="str">
        <v/>
      </c>
      <c r="F89" s="44" t="str">
        <v/>
      </c>
      <c r="G89" s="44" t="str">
        <v/>
      </c>
      <c r="H89" s="56">
        <v>2373</v>
      </c>
      <c r="I89" s="57">
        <v>317.22393630389331</v>
      </c>
      <c r="J89" s="57">
        <v>6.8</v>
      </c>
      <c r="K89" s="58">
        <v>16136.4</v>
      </c>
      <c r="L89" s="58" t="str">
        <v>preliminary</v>
      </c>
      <c r="M89" s="58" t="str">
        <v/>
      </c>
      <c r="N89" s="58" t="str">
        <v/>
      </c>
      <c r="O89" s="77" t="str">
        <v/>
      </c>
      <c r="P89" s="59" t="str">
        <v>-</v>
      </c>
      <c r="Q89" s="77" t="str">
        <v>-</v>
      </c>
      <c r="R89" s="60" t="str">
        <v>-</v>
      </c>
      <c r="S89" s="59" t="str">
        <v>-</v>
      </c>
      <c r="T89" s="60" t="str">
        <v>-</v>
      </c>
      <c r="U89" s="60" t="str">
        <v>-</v>
      </c>
      <c r="V89" s="59" t="str">
        <v>-</v>
      </c>
      <c r="W89" s="60" t="str">
        <v>-</v>
      </c>
      <c r="X89" s="60" t="str">
        <v>-</v>
      </c>
      <c r="Y89" s="77" t="str">
        <v>-</v>
      </c>
      <c r="Z89" s="60">
        <v>45231</v>
      </c>
      <c r="AA89" s="60" t="str">
        <v>-</v>
      </c>
      <c r="AB89" s="77" t="str">
        <v>LC-130/SPoT</v>
      </c>
      <c r="AC89" s="59">
        <v>45261</v>
      </c>
      <c r="AD89" s="59" t="str">
        <v>Yes</v>
      </c>
      <c r="AE89" s="59" t="str">
        <v>FY24 inter</v>
      </c>
      <c r="AF89" s="59" t="str">
        <v>FY24 intra</v>
      </c>
      <c r="AG89" s="59" t="str">
        <v>T. Benson</v>
      </c>
      <c r="AH89" s="59">
        <v>44483</v>
      </c>
      <c r="AI89" s="59" t="str">
        <v>I. McEwen</v>
      </c>
      <c r="AJ89" s="59">
        <v>44483</v>
      </c>
      <c r="AK89" s="59" t="str">
        <v/>
      </c>
      <c r="AL89" s="11" t="str">
        <v/>
      </c>
      <c r="AM89" s="11"/>
      <c r="AN89" s="11"/>
    </row>
    <row r="90" spans="1:40" ht="23.1" hidden="1" customHeight="1" thickTop="1">
      <c r="A90" s="25">
        <v>1.2</v>
      </c>
      <c r="B90" s="25" t="str">
        <v/>
      </c>
      <c r="C90" s="3" t="str">
        <v>Field Season 3 Fuel</v>
      </c>
      <c r="D90" s="42" t="str">
        <v>Fuel to support FY25 field season - Base fuel &amp; deep drilling</v>
      </c>
      <c r="E90" s="43" t="str">
        <v/>
      </c>
      <c r="F90" s="43" t="str">
        <v/>
      </c>
      <c r="G90" s="44" t="str">
        <v/>
      </c>
      <c r="H90" s="45">
        <v>62694</v>
      </c>
      <c r="I90" s="46">
        <v>8380.9681679883215</v>
      </c>
      <c r="J90" s="46">
        <v>6.8</v>
      </c>
      <c r="K90" s="46">
        <v>426319.2</v>
      </c>
      <c r="L90" s="104" t="str">
        <v>preliminary</v>
      </c>
      <c r="M90" s="46" t="str">
        <v/>
      </c>
      <c r="N90" s="427" t="str">
        <v/>
      </c>
      <c r="O90" s="435" t="str">
        <v/>
      </c>
      <c r="P90" s="427" t="str">
        <v>-</v>
      </c>
      <c r="Q90" s="435" t="str">
        <v>-</v>
      </c>
      <c r="R90" s="427" t="str">
        <v>-</v>
      </c>
      <c r="S90" s="427" t="str">
        <v>-</v>
      </c>
      <c r="T90" s="427" t="str">
        <v>-</v>
      </c>
      <c r="U90" s="427" t="str">
        <v>-</v>
      </c>
      <c r="V90" s="427" t="str">
        <v>-</v>
      </c>
      <c r="W90" s="427" t="str">
        <v>-</v>
      </c>
      <c r="X90" s="427" t="str">
        <v>-</v>
      </c>
      <c r="Y90" s="435" t="str">
        <v>-</v>
      </c>
      <c r="Z90" s="434">
        <v>45597</v>
      </c>
      <c r="AA90" s="427" t="str">
        <v>-</v>
      </c>
      <c r="AB90" s="435" t="str">
        <v>LC-130/SPoT</v>
      </c>
      <c r="AC90" s="427">
        <v>45627</v>
      </c>
      <c r="AD90" s="427" t="str">
        <v>Yes</v>
      </c>
      <c r="AE90" s="427" t="str">
        <v>FY25 inter</v>
      </c>
      <c r="AF90" s="427" t="str">
        <v>FY25 intra</v>
      </c>
      <c r="AG90" s="427" t="str">
        <v>T. Benson</v>
      </c>
      <c r="AH90" s="427">
        <v>44483</v>
      </c>
      <c r="AI90" s="427" t="str">
        <v>I. McEwen</v>
      </c>
      <c r="AJ90" s="427">
        <v>44483</v>
      </c>
      <c r="AK90" s="427" t="str">
        <v/>
      </c>
      <c r="AL90" s="9" t="str">
        <v/>
      </c>
    </row>
    <row r="91" spans="1:40" ht="15.95" hidden="1">
      <c r="A91" s="2">
        <v>1.2</v>
      </c>
      <c r="B91" s="2" t="str">
        <v/>
      </c>
      <c r="C91" s="15" t="str">
        <v>Field Season 3 Fuel Contingency</v>
      </c>
      <c r="D91" s="15" t="str">
        <v>Fuel to suppport FY25 field season - Contingency</v>
      </c>
      <c r="E91" s="9" t="str">
        <v/>
      </c>
      <c r="F91" s="9" t="str">
        <v/>
      </c>
      <c r="G91" s="9" t="str">
        <v/>
      </c>
      <c r="H91" s="9">
        <v>8473</v>
      </c>
      <c r="I91" s="9">
        <v>1132.6752685642175</v>
      </c>
      <c r="J91" s="9">
        <v>6.8</v>
      </c>
      <c r="K91" s="9">
        <v>57616.4</v>
      </c>
      <c r="L91" s="74" t="str">
        <v>preliminary</v>
      </c>
      <c r="M91" s="9" t="str">
        <v/>
      </c>
      <c r="N91" s="9" t="str">
        <v/>
      </c>
      <c r="O91" s="80" t="str">
        <v/>
      </c>
      <c r="P91" s="9" t="str">
        <v>-</v>
      </c>
      <c r="Q91" s="80" t="str">
        <v>-</v>
      </c>
      <c r="R91" s="9" t="str">
        <v>-</v>
      </c>
      <c r="S91" s="9" t="str">
        <v>-</v>
      </c>
      <c r="T91" s="9" t="str">
        <v>-</v>
      </c>
      <c r="U91" s="9" t="str">
        <v>-</v>
      </c>
      <c r="V91" s="9" t="str">
        <v>-</v>
      </c>
      <c r="W91" s="9" t="str">
        <v>-</v>
      </c>
      <c r="X91" s="9" t="str">
        <v>-</v>
      </c>
      <c r="Y91" s="80" t="str">
        <v>-</v>
      </c>
      <c r="Z91" s="9">
        <v>45597</v>
      </c>
      <c r="AA91" s="9" t="str">
        <v>-</v>
      </c>
      <c r="AB91" s="80" t="str">
        <v>LC-130/SPoT</v>
      </c>
      <c r="AC91" s="9">
        <v>45627</v>
      </c>
      <c r="AD91" s="9" t="str">
        <v>Yes</v>
      </c>
      <c r="AE91" s="9" t="str">
        <v>FY25 inter</v>
      </c>
      <c r="AF91" s="9" t="str">
        <v>FY25 intra</v>
      </c>
      <c r="AG91" s="9" t="str">
        <v>T. Benson</v>
      </c>
      <c r="AH91" s="9">
        <v>44483</v>
      </c>
      <c r="AI91" s="9" t="str">
        <v>I. McEwen</v>
      </c>
      <c r="AJ91" s="9">
        <v>44483</v>
      </c>
      <c r="AK91" s="9" t="str">
        <v/>
      </c>
      <c r="AL91" s="9" t="str">
        <v/>
      </c>
    </row>
    <row r="92" spans="1:40" ht="15.95" hidden="1">
      <c r="A92" s="9" t="str">
        <v/>
      </c>
      <c r="B92" s="9" t="str">
        <v/>
      </c>
      <c r="C92" s="16" t="str">
        <v>Fuel Totals:</v>
      </c>
      <c r="D92" s="16" t="str">
        <v/>
      </c>
      <c r="E92" s="9" t="str">
        <v/>
      </c>
      <c r="F92" s="9" t="str">
        <v/>
      </c>
      <c r="G92" s="9" t="str">
        <v>TEU=&gt;</v>
      </c>
      <c r="H92" s="9">
        <v>13.39066236666152</v>
      </c>
      <c r="I92" s="9">
        <v>12747.910573061765</v>
      </c>
      <c r="J92" s="9" t="str">
        <v/>
      </c>
      <c r="K92" s="9">
        <v>648454.80000000005</v>
      </c>
      <c r="L92" s="74" t="str">
        <v/>
      </c>
      <c r="M92" s="9" t="str">
        <v/>
      </c>
      <c r="N92" s="9" t="str">
        <v/>
      </c>
      <c r="O92" s="80" t="str">
        <v/>
      </c>
      <c r="P92" s="9" t="str">
        <v/>
      </c>
      <c r="Q92" s="80" t="str">
        <v/>
      </c>
      <c r="R92" s="9" t="str">
        <v/>
      </c>
      <c r="S92" s="9" t="str">
        <v/>
      </c>
      <c r="T92" s="9" t="str">
        <v/>
      </c>
      <c r="U92" s="9" t="str">
        <v/>
      </c>
      <c r="V92" s="9" t="str">
        <v/>
      </c>
      <c r="W92" s="9" t="str">
        <v/>
      </c>
      <c r="X92" s="9" t="str">
        <v/>
      </c>
      <c r="Y92" s="80" t="str">
        <v/>
      </c>
      <c r="Z92" s="9" t="str">
        <v/>
      </c>
      <c r="AA92" s="9" t="str">
        <v/>
      </c>
      <c r="AB92" s="80" t="str">
        <v/>
      </c>
      <c r="AC92" s="9" t="str">
        <v/>
      </c>
      <c r="AD92" s="9" t="str">
        <v/>
      </c>
      <c r="AE92" s="9" t="str">
        <v/>
      </c>
      <c r="AF92" s="9" t="str">
        <v/>
      </c>
      <c r="AG92" s="9" t="str">
        <v/>
      </c>
      <c r="AH92" s="9" t="str">
        <v/>
      </c>
      <c r="AI92" s="9" t="str">
        <v/>
      </c>
      <c r="AJ92" s="9" t="str">
        <v/>
      </c>
      <c r="AK92" s="9" t="str">
        <v/>
      </c>
      <c r="AL92" s="9" t="str">
        <v/>
      </c>
    </row>
    <row r="93" spans="1:40" ht="15.95" hidden="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6"/>
      <c r="D94" s="16"/>
      <c r="Z94" s="9"/>
    </row>
    <row r="95" spans="1:40">
      <c r="C95" s="16"/>
      <c r="D95" s="16"/>
      <c r="Z95" s="9"/>
    </row>
    <row r="96" spans="1:40">
      <c r="C96" s="16"/>
      <c r="D96" s="16"/>
      <c r="Z96" s="9"/>
    </row>
    <row r="97" spans="1:26">
      <c r="C97" s="16"/>
      <c r="D97" s="16"/>
      <c r="Z97" s="9"/>
    </row>
    <row r="98" spans="1:26">
      <c r="C98" s="16"/>
      <c r="D98" s="16"/>
      <c r="Z98" s="9"/>
    </row>
    <row r="99" spans="1:26">
      <c r="C99" s="16"/>
      <c r="D99" s="16"/>
      <c r="Z99" s="9"/>
    </row>
    <row r="100" spans="1:26">
      <c r="C100" s="16"/>
      <c r="D100" s="16"/>
      <c r="Z100" s="9"/>
    </row>
    <row r="101" spans="1:26">
      <c r="C101" s="16"/>
      <c r="D101" s="16"/>
      <c r="Z101" s="9"/>
    </row>
    <row r="102" spans="1:26">
      <c r="A102" s="2"/>
      <c r="B102" s="2"/>
      <c r="C102" s="16"/>
      <c r="D102" s="16"/>
      <c r="I102" s="75"/>
      <c r="J102" s="75"/>
      <c r="K102" s="75"/>
      <c r="L102" s="105"/>
      <c r="Z102" s="9"/>
    </row>
    <row r="103" spans="1:26">
      <c r="A103" s="2"/>
      <c r="B103" s="2"/>
      <c r="C103" s="16"/>
      <c r="D103" s="16"/>
      <c r="Z103" s="9"/>
    </row>
    <row r="104" spans="1:26">
      <c r="Z104" s="9"/>
    </row>
    <row r="105" spans="1:26">
      <c r="C105" s="16"/>
      <c r="D105" s="16"/>
      <c r="Z105" s="9"/>
    </row>
    <row r="106" spans="1:26">
      <c r="C106" s="16"/>
      <c r="D106" s="16"/>
      <c r="Z106" s="9"/>
    </row>
    <row r="107" spans="1:26">
      <c r="C107" s="16"/>
      <c r="D107" s="16"/>
      <c r="Z107" s="9"/>
    </row>
    <row r="108" spans="1:26">
      <c r="Z108" s="9"/>
    </row>
    <row r="109" spans="1:26">
      <c r="C109" s="16"/>
      <c r="D109" s="16"/>
      <c r="Z109" s="9"/>
    </row>
    <row r="110" spans="1:26">
      <c r="C110" s="16"/>
      <c r="D110" s="16"/>
      <c r="Z110" s="9"/>
    </row>
    <row r="111" spans="1:26">
      <c r="Z111" s="9"/>
    </row>
    <row r="112" spans="1:26">
      <c r="L112" s="106"/>
      <c r="Z112" s="9"/>
    </row>
    <row r="113" spans="1:26">
      <c r="D113" s="73"/>
      <c r="Z113" s="9"/>
    </row>
    <row r="114" spans="1:26" ht="15.95" thickBot="1">
      <c r="D114" s="73"/>
      <c r="Z114" s="9"/>
    </row>
    <row r="115" spans="1:26" ht="15.95" customHeight="1">
      <c r="A115" s="416"/>
      <c r="B115" s="417"/>
      <c r="C115" s="81" t="s">
        <v>475</v>
      </c>
      <c r="D115" s="82" t="s">
        <v>476</v>
      </c>
      <c r="Z115" s="9"/>
    </row>
    <row r="116" spans="1:26" ht="32.1" customHeight="1">
      <c r="A116" s="414" t="s">
        <v>477</v>
      </c>
      <c r="B116" s="415"/>
      <c r="C116" s="84">
        <f>SUBTOTAL(9,I2:I100)</f>
        <v>9962.1232638888905</v>
      </c>
      <c r="D116" s="85">
        <f>SUBTOTAL(9,K2:K100)</f>
        <v>121001</v>
      </c>
      <c r="E116" s="90"/>
      <c r="Z116" s="9"/>
    </row>
    <row r="117" spans="1:26" ht="33" customHeight="1" thickBot="1">
      <c r="A117" s="412" t="s">
        <v>478</v>
      </c>
      <c r="B117" s="413"/>
      <c r="C117" s="86">
        <f>SUMIF($Z$2:$Z$100,"in McMurdo",I2:I100)</f>
        <v>9962.1232638888905</v>
      </c>
      <c r="D117" s="87">
        <f>SUMIF($Z$2:$Z$100,"in McMurdo",K2:K100)</f>
        <v>121001</v>
      </c>
      <c r="J117" s="90"/>
      <c r="U117" s="90"/>
      <c r="Z117" s="9"/>
    </row>
    <row r="118" spans="1:26" ht="15.95" thickBot="1">
      <c r="D118" s="73"/>
      <c r="Z118" s="9"/>
    </row>
    <row r="119" spans="1:26">
      <c r="A119" s="416" t="s">
        <v>479</v>
      </c>
      <c r="B119" s="417"/>
      <c r="C119" s="81" t="s">
        <v>480</v>
      </c>
      <c r="D119" s="82"/>
      <c r="Z119" s="9"/>
    </row>
    <row r="120" spans="1:26" ht="15.95" customHeight="1">
      <c r="A120" s="418">
        <v>44136</v>
      </c>
      <c r="B120" s="419"/>
      <c r="C120" s="108">
        <f>'ICU_cargo MASTER INPUT SHEET'!A127</f>
        <v>44470</v>
      </c>
      <c r="D120" s="85"/>
      <c r="Z120" s="9"/>
    </row>
    <row r="121" spans="1:26" ht="15.95" thickBot="1">
      <c r="A121" s="412"/>
      <c r="B121" s="413"/>
      <c r="C121" s="86"/>
      <c r="D121" s="87"/>
      <c r="Z121" s="9"/>
    </row>
    <row r="122" spans="1:26">
      <c r="Z122" s="9"/>
    </row>
    <row r="123" spans="1:26">
      <c r="Z123" s="9"/>
    </row>
    <row r="124" spans="1:26" ht="15.95">
      <c r="A124" s="102"/>
      <c r="B124" s="102"/>
      <c r="C124" s="101"/>
      <c r="D124" s="101"/>
      <c r="Z124" s="9"/>
    </row>
    <row r="125" spans="1:26" ht="15.95">
      <c r="A125" s="102"/>
      <c r="B125" s="102"/>
      <c r="C125" s="101"/>
      <c r="D125" s="101"/>
      <c r="Z125" s="9"/>
    </row>
    <row r="126" spans="1:26" ht="15.95">
      <c r="A126" s="102"/>
      <c r="B126" s="102"/>
      <c r="C126" s="101"/>
      <c r="D126" s="101"/>
      <c r="Z126" s="9"/>
    </row>
    <row r="127" spans="1:26" ht="15.95">
      <c r="A127" s="102"/>
      <c r="B127" s="102"/>
      <c r="C127" s="101"/>
      <c r="D127" s="101"/>
      <c r="Z127" s="9"/>
    </row>
    <row r="128" spans="1:26">
      <c r="Z128" s="9"/>
    </row>
    <row r="129" spans="26:26">
      <c r="Z129" s="9"/>
    </row>
    <row r="130" spans="26:26">
      <c r="Z130" s="9"/>
    </row>
    <row r="131" spans="26:26">
      <c r="Z131" s="9"/>
    </row>
    <row r="132" spans="26:26">
      <c r="Z132" s="9"/>
    </row>
    <row r="133" spans="26:26">
      <c r="Z133" s="9"/>
    </row>
    <row r="134" spans="26:26">
      <c r="Z134" s="9"/>
    </row>
    <row r="135" spans="26:26">
      <c r="Z135" s="9"/>
    </row>
    <row r="136" spans="26:26">
      <c r="Z136" s="9"/>
    </row>
    <row r="137" spans="26:26">
      <c r="Z137" s="9"/>
    </row>
    <row r="138" spans="26:26">
      <c r="Z138" s="9"/>
    </row>
    <row r="139" spans="26:26">
      <c r="Z139" s="9"/>
    </row>
    <row r="140" spans="26:26">
      <c r="Z140" s="9"/>
    </row>
    <row r="141" spans="26:26">
      <c r="Z141" s="9"/>
    </row>
    <row r="142" spans="26:26">
      <c r="Z142" s="9"/>
    </row>
    <row r="143" spans="26:26">
      <c r="Z143" s="9"/>
    </row>
    <row r="144" spans="26:26">
      <c r="Z144" s="9"/>
    </row>
    <row r="145" spans="26:26">
      <c r="Z145" s="9"/>
    </row>
    <row r="146" spans="26:26">
      <c r="Z146" s="9"/>
    </row>
    <row r="147" spans="26:26">
      <c r="Z147" s="9"/>
    </row>
    <row r="148" spans="26:26">
      <c r="Z148" s="9"/>
    </row>
    <row r="149" spans="26:26">
      <c r="Z149" s="9"/>
    </row>
    <row r="150" spans="26:26">
      <c r="Z150" s="9"/>
    </row>
    <row r="151" spans="26:26">
      <c r="Z151" s="9"/>
    </row>
    <row r="152" spans="26:26">
      <c r="Z152" s="9"/>
    </row>
    <row r="153" spans="26:26">
      <c r="Z153" s="9"/>
    </row>
    <row r="154" spans="26:26">
      <c r="Z154" s="9"/>
    </row>
    <row r="155" spans="26:26">
      <c r="Z155" s="9"/>
    </row>
    <row r="156" spans="26:26">
      <c r="Z156" s="9"/>
    </row>
    <row r="157" spans="26:26">
      <c r="Z157" s="9"/>
    </row>
    <row r="158" spans="26:26">
      <c r="Z158" s="9"/>
    </row>
    <row r="159" spans="26:26">
      <c r="Z159" s="9"/>
    </row>
    <row r="160" spans="26:26">
      <c r="Z160" s="9"/>
    </row>
    <row r="161" spans="26:26">
      <c r="Z161" s="9"/>
    </row>
    <row r="162" spans="26:26">
      <c r="Z162" s="9"/>
    </row>
    <row r="163" spans="26:26">
      <c r="Z163" s="9"/>
    </row>
    <row r="164" spans="26:26">
      <c r="Z164" s="9"/>
    </row>
    <row r="165" spans="26:26">
      <c r="Z165" s="9"/>
    </row>
    <row r="166" spans="26:26">
      <c r="Z166" s="9"/>
    </row>
    <row r="167" spans="26:26">
      <c r="Z167" s="9"/>
    </row>
    <row r="168" spans="26:26">
      <c r="Z168" s="9"/>
    </row>
    <row r="169" spans="26:26">
      <c r="Z169" s="9"/>
    </row>
    <row r="170" spans="26:26">
      <c r="Z170" s="9"/>
    </row>
    <row r="171" spans="26:26">
      <c r="Z171" s="9"/>
    </row>
    <row r="172" spans="26:26">
      <c r="Z172" s="9"/>
    </row>
    <row r="173" spans="26:26">
      <c r="Z173" s="9"/>
    </row>
    <row r="174" spans="26:26">
      <c r="Z174" s="9"/>
    </row>
    <row r="175" spans="26:26">
      <c r="Z175" s="9"/>
    </row>
    <row r="176" spans="26:26">
      <c r="Z176" s="9"/>
    </row>
    <row r="177" spans="26:26">
      <c r="Z177" s="9"/>
    </row>
    <row r="178" spans="26:26">
      <c r="Z178" s="9"/>
    </row>
    <row r="179" spans="26:26">
      <c r="Z179" s="9"/>
    </row>
    <row r="180" spans="26:26">
      <c r="Z180" s="9"/>
    </row>
    <row r="181" spans="26:26">
      <c r="Z181" s="9"/>
    </row>
    <row r="182" spans="26:26">
      <c r="Z182" s="9"/>
    </row>
    <row r="183" spans="26:26">
      <c r="Z183" s="9"/>
    </row>
    <row r="184" spans="26:26">
      <c r="Z184" s="9"/>
    </row>
    <row r="185" spans="26:26">
      <c r="Z185" s="9"/>
    </row>
    <row r="186" spans="26:26">
      <c r="Z186" s="9"/>
    </row>
    <row r="187" spans="26:26">
      <c r="Z187" s="9"/>
    </row>
    <row r="188" spans="26:26">
      <c r="Z188" s="9"/>
    </row>
    <row r="189" spans="26:26">
      <c r="Z189" s="9"/>
    </row>
    <row r="190" spans="26:26">
      <c r="Z190" s="9"/>
    </row>
    <row r="191" spans="26:26">
      <c r="Z191" s="9"/>
    </row>
    <row r="192" spans="26:26">
      <c r="Z192" s="9"/>
    </row>
    <row r="193" spans="26:26">
      <c r="Z193" s="9"/>
    </row>
    <row r="194" spans="26:26">
      <c r="Z194" s="9"/>
    </row>
    <row r="195" spans="26:26">
      <c r="Z195" s="9"/>
    </row>
    <row r="196" spans="26:26">
      <c r="Z196" s="9"/>
    </row>
    <row r="197" spans="26:26">
      <c r="Z197" s="9"/>
    </row>
    <row r="198" spans="26:26">
      <c r="Z198" s="9"/>
    </row>
    <row r="199" spans="26:26">
      <c r="Z199" s="9"/>
    </row>
    <row r="200" spans="26:26">
      <c r="Z200" s="9"/>
    </row>
    <row r="201" spans="26:26">
      <c r="Z201" s="9"/>
    </row>
    <row r="202" spans="26:26">
      <c r="Z202" s="9"/>
    </row>
    <row r="203" spans="26:26">
      <c r="Z203" s="9"/>
    </row>
    <row r="204" spans="26:26">
      <c r="Z204" s="9"/>
    </row>
    <row r="205" spans="26:26">
      <c r="Z205" s="9"/>
    </row>
    <row r="206" spans="26:26">
      <c r="Z206" s="9"/>
    </row>
    <row r="207" spans="26:26">
      <c r="Z207" s="9"/>
    </row>
    <row r="208" spans="26:26">
      <c r="Z208" s="9"/>
    </row>
    <row r="209" spans="26:26">
      <c r="Z209" s="9"/>
    </row>
    <row r="210" spans="26:26">
      <c r="Z210" s="9"/>
    </row>
    <row r="211" spans="26:26">
      <c r="Z211" s="9"/>
    </row>
    <row r="212" spans="26:26">
      <c r="Z212" s="9"/>
    </row>
    <row r="213" spans="26:26">
      <c r="Z213" s="9"/>
    </row>
    <row r="214" spans="26:26">
      <c r="Z214" s="9"/>
    </row>
    <row r="215" spans="26:26">
      <c r="Z215" s="9"/>
    </row>
    <row r="216" spans="26:26">
      <c r="Z216" s="9"/>
    </row>
    <row r="217" spans="26:26">
      <c r="Z217" s="9"/>
    </row>
    <row r="218" spans="26:26">
      <c r="Z218" s="9"/>
    </row>
    <row r="219" spans="26:26">
      <c r="Z219" s="9"/>
    </row>
    <row r="220" spans="26:26">
      <c r="Z220" s="9"/>
    </row>
    <row r="221" spans="26:26">
      <c r="Z221" s="9"/>
    </row>
    <row r="222" spans="26:26">
      <c r="Z222" s="9"/>
    </row>
    <row r="223" spans="26:26">
      <c r="Z223" s="9"/>
    </row>
    <row r="224" spans="26:26">
      <c r="Z224" s="9"/>
    </row>
    <row r="225" spans="26:26">
      <c r="Z225" s="9"/>
    </row>
    <row r="226" spans="26:26">
      <c r="Z226" s="9"/>
    </row>
    <row r="227" spans="26:26">
      <c r="Z227" s="9"/>
    </row>
    <row r="228" spans="26:26">
      <c r="Z228" s="9"/>
    </row>
    <row r="229" spans="26:26">
      <c r="Z229" s="9"/>
    </row>
    <row r="230" spans="26:26">
      <c r="Z230" s="9"/>
    </row>
    <row r="231" spans="26:26">
      <c r="Z231" s="9"/>
    </row>
    <row r="232" spans="26:26">
      <c r="Z232" s="9"/>
    </row>
    <row r="233" spans="26:26">
      <c r="Z233" s="9"/>
    </row>
    <row r="234" spans="26:26">
      <c r="Z234" s="9"/>
    </row>
    <row r="235" spans="26:26">
      <c r="Z235" s="9"/>
    </row>
    <row r="236" spans="26:26">
      <c r="Z236" s="9"/>
    </row>
    <row r="237" spans="26:26">
      <c r="Z237" s="9"/>
    </row>
    <row r="238" spans="26:26">
      <c r="Z238" s="9"/>
    </row>
    <row r="239" spans="26:26">
      <c r="Z239" s="9"/>
    </row>
    <row r="240" spans="26:26">
      <c r="Z240" s="9"/>
    </row>
    <row r="241" spans="26:26">
      <c r="Z241" s="9"/>
    </row>
    <row r="242" spans="26:26">
      <c r="Z242" s="9"/>
    </row>
    <row r="243" spans="26:26">
      <c r="Z243" s="9"/>
    </row>
    <row r="244" spans="26:26">
      <c r="Z244" s="9"/>
    </row>
    <row r="245" spans="26:26">
      <c r="Z245" s="9"/>
    </row>
    <row r="246" spans="26:26">
      <c r="Z246" s="9"/>
    </row>
    <row r="247" spans="26:26">
      <c r="Z247" s="9"/>
    </row>
    <row r="248" spans="26:26">
      <c r="Z248" s="9"/>
    </row>
    <row r="249" spans="26:26">
      <c r="Z249" s="9"/>
    </row>
    <row r="250" spans="26:26">
      <c r="Z250" s="9"/>
    </row>
    <row r="251" spans="26:26">
      <c r="Z251" s="9"/>
    </row>
    <row r="252" spans="26:26">
      <c r="Z252" s="9"/>
    </row>
    <row r="253" spans="26:26">
      <c r="Z253" s="9"/>
    </row>
    <row r="254" spans="26:26">
      <c r="Z254" s="9"/>
    </row>
    <row r="255" spans="26:26">
      <c r="Z255" s="9"/>
    </row>
    <row r="256" spans="26:26">
      <c r="Z256" s="9"/>
    </row>
    <row r="257" spans="26:26">
      <c r="Z257" s="9"/>
    </row>
    <row r="258" spans="26:26">
      <c r="Z258" s="9"/>
    </row>
    <row r="259" spans="26:26">
      <c r="Z259" s="9"/>
    </row>
    <row r="260" spans="26:26">
      <c r="Z260" s="9"/>
    </row>
    <row r="261" spans="26:26">
      <c r="Z261" s="9"/>
    </row>
    <row r="262" spans="26:26">
      <c r="Z262" s="9"/>
    </row>
    <row r="263" spans="26:26">
      <c r="Z263" s="9"/>
    </row>
    <row r="264" spans="26:26">
      <c r="Z264" s="9"/>
    </row>
    <row r="265" spans="26:26">
      <c r="Z265" s="9"/>
    </row>
    <row r="266" spans="26:26">
      <c r="Z266" s="9"/>
    </row>
    <row r="267" spans="26:26">
      <c r="Z267" s="9"/>
    </row>
    <row r="268" spans="26:26">
      <c r="Z268" s="9"/>
    </row>
    <row r="269" spans="26:26">
      <c r="Z269" s="9"/>
    </row>
    <row r="270" spans="26:26">
      <c r="Z270" s="9"/>
    </row>
    <row r="271" spans="26:26">
      <c r="Z271" s="9"/>
    </row>
    <row r="272" spans="26:26">
      <c r="Z272" s="9"/>
    </row>
    <row r="273" spans="26:26">
      <c r="Z273" s="9"/>
    </row>
    <row r="274" spans="26:26">
      <c r="Z274" s="9"/>
    </row>
    <row r="275" spans="26:26">
      <c r="Z275" s="9"/>
    </row>
    <row r="276" spans="26:26">
      <c r="Z276" s="9"/>
    </row>
    <row r="277" spans="26:26">
      <c r="Z277" s="9"/>
    </row>
    <row r="278" spans="26:26">
      <c r="Z278" s="9"/>
    </row>
    <row r="279" spans="26:26">
      <c r="Z279" s="9"/>
    </row>
    <row r="280" spans="26:26">
      <c r="Z280" s="9"/>
    </row>
    <row r="281" spans="26:26">
      <c r="Z281" s="9"/>
    </row>
    <row r="282" spans="26:26">
      <c r="Z282" s="9"/>
    </row>
    <row r="283" spans="26:26">
      <c r="Z283" s="9"/>
    </row>
    <row r="284" spans="26:26">
      <c r="Z284" s="9"/>
    </row>
    <row r="285" spans="26:26">
      <c r="Z285" s="9"/>
    </row>
    <row r="286" spans="26:26">
      <c r="Z286" s="9"/>
    </row>
    <row r="287" spans="26:26">
      <c r="Z287" s="9"/>
    </row>
    <row r="288" spans="26:26">
      <c r="Z288" s="9"/>
    </row>
    <row r="289" spans="26:26">
      <c r="Z289" s="9"/>
    </row>
    <row r="290" spans="26:26">
      <c r="Z290" s="9"/>
    </row>
    <row r="291" spans="26:26">
      <c r="Z291" s="9"/>
    </row>
    <row r="292" spans="26:26">
      <c r="Z292" s="9"/>
    </row>
    <row r="293" spans="26:26">
      <c r="Z293" s="9"/>
    </row>
    <row r="294" spans="26:26">
      <c r="Z294" s="9"/>
    </row>
    <row r="295" spans="26:26">
      <c r="Z295" s="9"/>
    </row>
    <row r="296" spans="26:26">
      <c r="Z296" s="9"/>
    </row>
    <row r="297" spans="26:26">
      <c r="Z297" s="9"/>
    </row>
    <row r="298" spans="26:26">
      <c r="Z298" s="9"/>
    </row>
    <row r="299" spans="26:26">
      <c r="Z299" s="9"/>
    </row>
    <row r="300" spans="26:26">
      <c r="Z300" s="9"/>
    </row>
    <row r="301" spans="26:26">
      <c r="Z301" s="9"/>
    </row>
    <row r="302" spans="26:26">
      <c r="Z302" s="9"/>
    </row>
    <row r="303" spans="26:26">
      <c r="Z303" s="9"/>
    </row>
    <row r="304" spans="26:26">
      <c r="Z304" s="9"/>
    </row>
    <row r="305" spans="26:26">
      <c r="Z305" s="9"/>
    </row>
    <row r="306" spans="26:26">
      <c r="Z306" s="9"/>
    </row>
    <row r="307" spans="26:26">
      <c r="Z307" s="9"/>
    </row>
    <row r="308" spans="26:26">
      <c r="Z308" s="9"/>
    </row>
    <row r="309" spans="26:26">
      <c r="Z309" s="9"/>
    </row>
    <row r="310" spans="26:26">
      <c r="Z310" s="9"/>
    </row>
    <row r="311" spans="26:26">
      <c r="Z311" s="9"/>
    </row>
    <row r="312" spans="26:26">
      <c r="Z312" s="9"/>
    </row>
    <row r="313" spans="26:26">
      <c r="Z313" s="9"/>
    </row>
    <row r="314" spans="26:26">
      <c r="Z314" s="9"/>
    </row>
    <row r="315" spans="26:26">
      <c r="Z315" s="9"/>
    </row>
    <row r="316" spans="26:26">
      <c r="Z316" s="9"/>
    </row>
    <row r="317" spans="26:26">
      <c r="Z317" s="9"/>
    </row>
    <row r="318" spans="26:26">
      <c r="Z318" s="9"/>
    </row>
    <row r="319" spans="26:26">
      <c r="Z319" s="9"/>
    </row>
    <row r="320" spans="26:26">
      <c r="Z320" s="9"/>
    </row>
    <row r="321" spans="26:26">
      <c r="Z321" s="9"/>
    </row>
    <row r="322" spans="26:26">
      <c r="Z322" s="9"/>
    </row>
    <row r="323" spans="26:26">
      <c r="Z323" s="9"/>
    </row>
    <row r="324" spans="26:26">
      <c r="Z324" s="9"/>
    </row>
    <row r="325" spans="26:26">
      <c r="Z325" s="9"/>
    </row>
    <row r="326" spans="26:26">
      <c r="Z326" s="9"/>
    </row>
    <row r="327" spans="26:26">
      <c r="Z327" s="9"/>
    </row>
    <row r="328" spans="26:26">
      <c r="Z328" s="9"/>
    </row>
    <row r="329" spans="26:26">
      <c r="Z329" s="9"/>
    </row>
    <row r="330" spans="26:26">
      <c r="Z330" s="9"/>
    </row>
    <row r="331" spans="26:26">
      <c r="Z331" s="9"/>
    </row>
    <row r="332" spans="26:26">
      <c r="Z332" s="9"/>
    </row>
    <row r="333" spans="26:26">
      <c r="Z333" s="9"/>
    </row>
    <row r="334" spans="26:26">
      <c r="Z334" s="9"/>
    </row>
    <row r="335" spans="26:26">
      <c r="Z335" s="9"/>
    </row>
    <row r="336" spans="26:26">
      <c r="Z336" s="9"/>
    </row>
    <row r="337" spans="26:26">
      <c r="Z337" s="9"/>
    </row>
    <row r="338" spans="26:26">
      <c r="Z338" s="9"/>
    </row>
    <row r="339" spans="26:26">
      <c r="Z339" s="9"/>
    </row>
    <row r="340" spans="26:26">
      <c r="Z340" s="9"/>
    </row>
    <row r="341" spans="26:26">
      <c r="Z341" s="9"/>
    </row>
    <row r="342" spans="26:26">
      <c r="Z342" s="9"/>
    </row>
    <row r="343" spans="26:26">
      <c r="Z343" s="9"/>
    </row>
    <row r="344" spans="26:26">
      <c r="Z344" s="9"/>
    </row>
    <row r="345" spans="26:26">
      <c r="Z345" s="9"/>
    </row>
    <row r="346" spans="26:26">
      <c r="Z346" s="9"/>
    </row>
    <row r="347" spans="26:26">
      <c r="Z347" s="9"/>
    </row>
    <row r="348" spans="26:26">
      <c r="Z348" s="9"/>
    </row>
    <row r="349" spans="26:26">
      <c r="Z349" s="9"/>
    </row>
    <row r="350" spans="26:26">
      <c r="Z350" s="9"/>
    </row>
    <row r="351" spans="26:26">
      <c r="Z351" s="9"/>
    </row>
    <row r="352" spans="26:26">
      <c r="Z352" s="9"/>
    </row>
    <row r="353" spans="26:26">
      <c r="Z353" s="9"/>
    </row>
  </sheetData>
  <sheetProtection sheet="1" objects="1" scenarios="1" formatCells="0" formatColumns="0" formatRows="0" sort="0" autoFilter="0"/>
  <autoFilter ref="A1:AN93" xr:uid="{068D1C42-7E5A-D647-94ED-3BDDEE6257A8}">
    <filterColumn colId="21">
      <customFilters>
        <customFilter operator="notEqual" val=" "/>
      </customFilters>
    </filterColumn>
    <filterColumn colId="24">
      <filters>
        <filter val="In McMurdo"/>
      </filters>
    </filterColumn>
  </autoFilter>
  <mergeCells count="6">
    <mergeCell ref="A119:B119"/>
    <mergeCell ref="A121:B121"/>
    <mergeCell ref="A120:B120"/>
    <mergeCell ref="A115:B115"/>
    <mergeCell ref="A116:B116"/>
    <mergeCell ref="A117:B117"/>
  </mergeCells>
  <conditionalFormatting sqref="D116">
    <cfRule type="cellIs" dxfId="34" priority="4" operator="equal">
      <formula>$D$117</formula>
    </cfRule>
  </conditionalFormatting>
  <conditionalFormatting sqref="D117">
    <cfRule type="cellIs" dxfId="33" priority="3" operator="equal">
      <formula>$D$116</formula>
    </cfRule>
  </conditionalFormatting>
  <conditionalFormatting sqref="C116">
    <cfRule type="cellIs" dxfId="32" priority="2" operator="equal">
      <formula>$C$117</formula>
    </cfRule>
  </conditionalFormatting>
  <conditionalFormatting sqref="C117">
    <cfRule type="cellIs" dxfId="31" priority="1" operator="equal">
      <formula>$C$116</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267F8-1ADA-4445-8CD7-27DEF0588F19}">
  <sheetPr codeName="Sheet4" filterMode="1"/>
  <dimension ref="A1:AN353"/>
  <sheetViews>
    <sheetView topLeftCell="D1" workbookViewId="0">
      <selection activeCell="O1" sqref="O1"/>
    </sheetView>
  </sheetViews>
  <sheetFormatPr defaultColWidth="9.140625" defaultRowHeight="15"/>
  <cols>
    <col min="1" max="2" width="12.85546875" style="9" customWidth="1"/>
    <col min="3" max="3" width="28" style="15" customWidth="1"/>
    <col min="4" max="4" width="73.7109375" style="15" customWidth="1"/>
    <col min="5" max="7" width="12" style="9" customWidth="1"/>
    <col min="8" max="8" width="10.140625" style="9" customWidth="1"/>
    <col min="9" max="10" width="8.7109375" style="9" customWidth="1"/>
    <col min="11" max="11" width="10" style="9" customWidth="1"/>
    <col min="12" max="12" width="16.28515625" style="74" customWidth="1"/>
    <col min="13" max="13" width="12.7109375" style="9" customWidth="1"/>
    <col min="14" max="14" width="17.140625" style="9" customWidth="1"/>
    <col min="15" max="15" width="17.140625" style="216" customWidth="1"/>
    <col min="16" max="16" width="17.7109375" style="80" customWidth="1"/>
    <col min="17" max="18" width="16.7109375" style="80" customWidth="1"/>
    <col min="19" max="19" width="17.7109375" style="9" customWidth="1"/>
    <col min="20" max="21" width="16.7109375" style="9" customWidth="1"/>
    <col min="22" max="22" width="17.7109375" style="9" customWidth="1"/>
    <col min="23" max="24" width="16.7109375" style="9" customWidth="1"/>
    <col min="25" max="25" width="18.85546875" style="80" customWidth="1"/>
    <col min="26" max="26" width="19.7109375" style="383" customWidth="1"/>
    <col min="27" max="27" width="16.42578125" style="9" customWidth="1"/>
    <col min="28" max="29" width="16.42578125" style="80" customWidth="1"/>
    <col min="30" max="32" width="16.42578125" style="9" customWidth="1"/>
    <col min="33" max="35" width="16.42578125" style="80" customWidth="1"/>
    <col min="36" max="36" width="66.85546875" style="80" customWidth="1"/>
    <col min="37" max="37" width="60.7109375" style="9" customWidth="1"/>
    <col min="38" max="16384" width="9.140625" style="9"/>
  </cols>
  <sheetData>
    <row r="1" spans="1:40" ht="102">
      <c r="A1" s="28" t="str" cm="1">
        <f t="array" ref="A1:AL93">IF(ISBLANK(cargo_table),"", cargo_table)</f>
        <v>Cargo Item  respective WBS Level</v>
      </c>
      <c r="B1" s="28" t="str">
        <v>Work Package</v>
      </c>
      <c r="C1" s="29" t="str">
        <v>Item Description</v>
      </c>
      <c r="D1" s="30" t="str">
        <v>Contents &amp; Comments</v>
      </c>
      <c r="E1" s="28" t="str">
        <v>Length (in)</v>
      </c>
      <c r="F1" s="28" t="str">
        <v>Width (in)</v>
      </c>
      <c r="G1" s="28" t="str">
        <v>Height (in)</v>
      </c>
      <c r="H1" s="28" t="str">
        <v>Quantity</v>
      </c>
      <c r="I1" s="28" t="str">
        <v xml:space="preserve"> Cubic feet</v>
      </c>
      <c r="J1" s="28" t="str">
        <v>Unit weight (lbs)</v>
      </c>
      <c r="K1" s="28" t="str">
        <v>Total Weight (lbs) = quantity x unit weight</v>
      </c>
      <c r="L1" s="28" t="str">
        <v>Basis of Estimate</v>
      </c>
      <c r="M1" s="28" t="str">
        <v>Special Handling?</v>
      </c>
      <c r="N1" s="28" t="str">
        <v xml:space="preserve">Owner/Guardian institution </v>
      </c>
      <c r="O1" s="403" t="str">
        <v>Time between date of completion and shipping date</v>
      </c>
      <c r="P1" s="93" t="str">
        <v xml:space="preserve">Date of expected  or actual  completion </v>
      </c>
      <c r="Q1" s="93" t="str">
        <v>Expected Route:  Owner - PTH or CHC</v>
      </c>
      <c r="R1" s="93" t="str">
        <v xml:space="preserve">Date of expected or actual shipment </v>
      </c>
      <c r="S1" s="32" t="str">
        <v>Recommended Transportation Option</v>
      </c>
      <c r="T1" s="32" t="str">
        <v>Expected Route: PTH - MCM or CHC</v>
      </c>
      <c r="U1" s="32" t="str">
        <v xml:space="preserve">Date of expected or actual shipment </v>
      </c>
      <c r="V1" s="33" t="str">
        <v>Recommended Transportation Option</v>
      </c>
      <c r="W1" s="33" t="str">
        <v>Expected Route: CHC - MCM</v>
      </c>
      <c r="X1" s="33" t="str">
        <v xml:space="preserve">Date of expected or actual shipment </v>
      </c>
      <c r="Y1" s="83" t="str">
        <v>Recommended Transportation Option</v>
      </c>
      <c r="Z1" s="83" t="str">
        <v>Date Item expected or arrived to MCM</v>
      </c>
      <c r="AA1" s="28" t="str">
        <v xml:space="preserve">Date of (planned) or actual shipment to SPA </v>
      </c>
      <c r="AB1" s="83" t="str">
        <v>Recommended LC-130 or SPOT</v>
      </c>
      <c r="AC1" s="83" t="str">
        <v>Date/Month for Items needed at South Pole</v>
      </c>
      <c r="AD1" s="28" t="str">
        <v>Critical Path</v>
      </c>
      <c r="AE1" s="28" t="str">
        <v>Intercontinental shipping</v>
      </c>
      <c r="AF1" s="28" t="str">
        <v>Intracontinental shipping</v>
      </c>
      <c r="AG1" s="83" t="str">
        <v>Validator 1
(SME)</v>
      </c>
      <c r="AH1" s="83" t="str">
        <v>Validation Date</v>
      </c>
      <c r="AI1" s="83" t="str">
        <v>Validator 2
(Logistics)</v>
      </c>
      <c r="AJ1" s="83" t="str">
        <v>Validation Date</v>
      </c>
      <c r="AK1" s="28" t="str">
        <v>Notes</v>
      </c>
      <c r="AL1" s="9" t="str">
        <v/>
      </c>
    </row>
    <row r="2" spans="1:40" ht="33.950000000000003" hidden="1">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8">
        <v>43867</v>
      </c>
      <c r="Q2" s="429" t="str">
        <v>In McMurdo</v>
      </c>
      <c r="R2" s="428" t="str">
        <v>-</v>
      </c>
      <c r="S2" s="430" t="str">
        <v>-</v>
      </c>
      <c r="T2" s="431" t="str">
        <v>In McMurdo</v>
      </c>
      <c r="U2" s="431" t="str">
        <v>-</v>
      </c>
      <c r="V2" s="432" t="str">
        <v>-</v>
      </c>
      <c r="W2" s="433" t="str">
        <v>In McMurdo</v>
      </c>
      <c r="X2" s="433" t="str">
        <v>-</v>
      </c>
      <c r="Y2" s="88" t="str">
        <v>-</v>
      </c>
      <c r="Z2" s="434" t="str">
        <v>In McMurdo</v>
      </c>
      <c r="AA2" s="409" t="str">
        <v>-</v>
      </c>
      <c r="AB2" s="435" t="str">
        <v>SPoT</v>
      </c>
      <c r="AC2" s="409">
        <v>45261</v>
      </c>
      <c r="AD2" s="409" t="str">
        <v>Yes</v>
      </c>
      <c r="AE2" s="409" t="str">
        <v>In McMurdo</v>
      </c>
      <c r="AF2" s="409" t="str">
        <v>FY24 intra</v>
      </c>
      <c r="AG2" s="409" t="str">
        <v>D. Gibson</v>
      </c>
      <c r="AH2" s="409">
        <v>44475</v>
      </c>
      <c r="AI2" s="409" t="str">
        <v>I. McEwen</v>
      </c>
      <c r="AJ2" s="10">
        <v>44475</v>
      </c>
      <c r="AK2" s="409" t="str">
        <v>Will require crane for onload/offload  - use belly band to support container sidewalls during lift.</v>
      </c>
      <c r="AL2" s="9" t="str">
        <v/>
      </c>
    </row>
    <row r="3" spans="1:40" ht="51" hidden="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8">
        <v>43845</v>
      </c>
      <c r="Q3" s="429" t="str">
        <v>In McMurdo</v>
      </c>
      <c r="R3" s="428" t="str">
        <v>-</v>
      </c>
      <c r="S3" s="430" t="str">
        <v>-</v>
      </c>
      <c r="T3" s="431" t="str">
        <v>In McMurdo</v>
      </c>
      <c r="U3" s="431" t="str">
        <v>-</v>
      </c>
      <c r="V3" s="432" t="str">
        <v>-</v>
      </c>
      <c r="W3" s="433" t="str">
        <v>In McMurdo</v>
      </c>
      <c r="X3" s="433" t="str">
        <v>-</v>
      </c>
      <c r="Y3" s="88" t="str">
        <v>-</v>
      </c>
      <c r="Z3" s="434" t="str">
        <v>In McMurdo</v>
      </c>
      <c r="AA3" s="409" t="str">
        <v>-</v>
      </c>
      <c r="AB3" s="435" t="str">
        <v>SPoT</v>
      </c>
      <c r="AC3" s="409">
        <v>44927</v>
      </c>
      <c r="AD3" s="409" t="str">
        <v>Yes</v>
      </c>
      <c r="AE3" s="409" t="str">
        <v>In McMurdo</v>
      </c>
      <c r="AF3" s="409" t="str">
        <v>FY23 intra</v>
      </c>
      <c r="AG3" s="409" t="str">
        <v>D. Gibson</v>
      </c>
      <c r="AH3" s="409">
        <v>44475</v>
      </c>
      <c r="AI3" s="409" t="str">
        <v>I. McEwen</v>
      </c>
      <c r="AJ3" s="10">
        <v>44475</v>
      </c>
      <c r="AK3" s="10" t="str">
        <v>Gens 2 &amp; 3 need to be tranferred from ISO2 sleds that are limited to use on improved surfaces only. Will require crane for onload/offload  - use belly band to support container sidewalls during lift.</v>
      </c>
      <c r="AL3" s="9" t="str">
        <v/>
      </c>
    </row>
    <row r="4" spans="1:40" ht="42.95" hidden="1"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8">
        <v>43845</v>
      </c>
      <c r="Q4" s="429" t="str">
        <v>In McMurdo</v>
      </c>
      <c r="R4" s="428" t="str">
        <v>-</v>
      </c>
      <c r="S4" s="430" t="str">
        <v>-</v>
      </c>
      <c r="T4" s="431" t="str">
        <v>In McMurdo</v>
      </c>
      <c r="U4" s="431" t="str">
        <v>-</v>
      </c>
      <c r="V4" s="432" t="str">
        <v>-</v>
      </c>
      <c r="W4" s="433" t="str">
        <v>In McMurdo</v>
      </c>
      <c r="X4" s="433" t="str">
        <v>-</v>
      </c>
      <c r="Y4" s="88" t="str">
        <v>-</v>
      </c>
      <c r="Z4" s="434" t="str">
        <v>In McMurdo</v>
      </c>
      <c r="AA4" s="409" t="str">
        <v>-</v>
      </c>
      <c r="AB4" s="435" t="str">
        <v>SPoT</v>
      </c>
      <c r="AC4" s="409">
        <v>44896</v>
      </c>
      <c r="AD4" s="409" t="str">
        <v>Yes</v>
      </c>
      <c r="AE4" s="409" t="str">
        <v>In McMurdo</v>
      </c>
      <c r="AF4" s="409" t="str">
        <v>FY23 intra</v>
      </c>
      <c r="AG4" s="409" t="str">
        <v>D. Gibson</v>
      </c>
      <c r="AH4" s="409">
        <v>44475</v>
      </c>
      <c r="AI4" s="409" t="str">
        <v>I. McEwen</v>
      </c>
      <c r="AJ4" s="10">
        <v>44475</v>
      </c>
      <c r="AK4" s="409" t="str">
        <v>Gens 2 &amp; 3 need to be tranferred from ISO2 sleds that are limited to use on improved surfaces only. Will require crane for onload/offload  - use belly band to support container sidewalls during lift.</v>
      </c>
      <c r="AL4" s="9" t="str">
        <v/>
      </c>
    </row>
    <row r="5" spans="1:40" ht="34.5" hidden="1"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8">
        <v>43753</v>
      </c>
      <c r="Q5" s="94" t="str">
        <v>In McMurdo</v>
      </c>
      <c r="R5" s="428">
        <v>43784</v>
      </c>
      <c r="S5" s="430" t="str">
        <v>Truck</v>
      </c>
      <c r="T5" s="431" t="str">
        <v>In McMurdo</v>
      </c>
      <c r="U5" s="431" t="str">
        <v>-</v>
      </c>
      <c r="V5" s="432" t="str">
        <v>-</v>
      </c>
      <c r="W5" s="433" t="str">
        <v>In McMurdo</v>
      </c>
      <c r="X5" s="433" t="str">
        <v>-</v>
      </c>
      <c r="Y5" s="88" t="str">
        <v>-</v>
      </c>
      <c r="Z5" s="434" t="str">
        <v>In McMurdo</v>
      </c>
      <c r="AA5" s="427" t="str">
        <v>-</v>
      </c>
      <c r="AB5" s="435" t="str">
        <v>LC-130/SPoT</v>
      </c>
      <c r="AC5" s="409">
        <v>44896</v>
      </c>
      <c r="AD5" s="409" t="str">
        <v>No*</v>
      </c>
      <c r="AE5" s="409" t="str">
        <v>In McMurdo</v>
      </c>
      <c r="AF5" s="409" t="str">
        <v>FY23 intra</v>
      </c>
      <c r="AG5" s="409" t="str">
        <v>D. Gibson</v>
      </c>
      <c r="AH5" s="409">
        <v>44476</v>
      </c>
      <c r="AI5" s="409" t="str">
        <v>I. McEwen</v>
      </c>
      <c r="AJ5" s="52">
        <v>44476</v>
      </c>
      <c r="AK5" s="409" t="str">
        <v>*Required onsite early in FY23 for refit/pre-drill activity support unless ASC can supply dedicated loader for Upgrade use</v>
      </c>
      <c r="AL5" s="9" t="str">
        <v/>
      </c>
    </row>
    <row r="6" spans="1:40" ht="44.1" hidden="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8">
        <v>43814</v>
      </c>
      <c r="Q6" s="429" t="str">
        <v>In McMurdo</v>
      </c>
      <c r="R6" s="428" t="str">
        <v/>
      </c>
      <c r="S6" s="431" t="str">
        <v/>
      </c>
      <c r="T6" s="431" t="str">
        <v>In McMurdo</v>
      </c>
      <c r="U6" s="431" t="str">
        <v>-</v>
      </c>
      <c r="V6" s="433" t="str">
        <v>-</v>
      </c>
      <c r="W6" s="433" t="str">
        <v>In McMurdo</v>
      </c>
      <c r="X6" s="433" t="str">
        <v>-</v>
      </c>
      <c r="Y6" s="88" t="str">
        <v>-</v>
      </c>
      <c r="Z6" s="434" t="str">
        <v>In McMurdo</v>
      </c>
      <c r="AA6" s="427" t="str">
        <v>-</v>
      </c>
      <c r="AB6" s="435" t="str">
        <v>LC-130/SPoT</v>
      </c>
      <c r="AC6" s="409">
        <v>45292</v>
      </c>
      <c r="AD6" s="409" t="str">
        <v>No</v>
      </c>
      <c r="AE6" s="409" t="str">
        <v>In McMurdo</v>
      </c>
      <c r="AF6" s="409" t="str">
        <v>FY24 intra</v>
      </c>
      <c r="AG6" s="409" t="str">
        <v>D. Gibson</v>
      </c>
      <c r="AH6" s="409">
        <v>44477</v>
      </c>
      <c r="AI6" s="409" t="str">
        <v>I. McEwen</v>
      </c>
      <c r="AJ6" s="409">
        <v>44477</v>
      </c>
      <c r="AK6" s="409" t="str">
        <v>Testing/limited operation of Gens can be accomplished without hoods - Hoods required for the drill season</v>
      </c>
      <c r="AL6" s="9" t="str">
        <v/>
      </c>
    </row>
    <row r="7" spans="1:40" ht="38.25" hidden="1"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8">
        <v>43845</v>
      </c>
      <c r="Q7" s="429" t="str">
        <v>In McMurdo</v>
      </c>
      <c r="R7" s="428" t="str">
        <v/>
      </c>
      <c r="S7" s="431" t="str">
        <v/>
      </c>
      <c r="T7" s="431" t="str">
        <v>In McMurdo</v>
      </c>
      <c r="U7" s="431" t="str">
        <v>-</v>
      </c>
      <c r="V7" s="433" t="str">
        <v>-</v>
      </c>
      <c r="W7" s="433" t="str">
        <v>In McMurdo</v>
      </c>
      <c r="X7" s="433" t="str">
        <v>-</v>
      </c>
      <c r="Y7" s="88" t="str">
        <v>-</v>
      </c>
      <c r="Z7" s="434" t="str">
        <v>In McMurdo</v>
      </c>
      <c r="AA7" s="427" t="str">
        <v>-</v>
      </c>
      <c r="AB7" s="435" t="str">
        <v>LC-130/SPoT</v>
      </c>
      <c r="AC7" s="409">
        <v>45261</v>
      </c>
      <c r="AD7" s="409" t="str">
        <v>Yes</v>
      </c>
      <c r="AE7" s="409" t="str">
        <v>In McMurdo</v>
      </c>
      <c r="AF7" s="409" t="str">
        <v>FY24 intra</v>
      </c>
      <c r="AG7" s="409" t="str">
        <v>D. Gibson</v>
      </c>
      <c r="AH7" s="409">
        <v>44477</v>
      </c>
      <c r="AI7" s="409" t="str">
        <v>I. McEwen</v>
      </c>
      <c r="AJ7" s="409">
        <v>44477</v>
      </c>
      <c r="AK7" s="409" t="str">
        <v>Bermed in McMurdo - SPOTSA</v>
      </c>
      <c r="AL7" s="9" t="str">
        <v/>
      </c>
    </row>
    <row r="8" spans="1:40" ht="17.100000000000001" hidden="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8">
        <v>43845</v>
      </c>
      <c r="Q8" s="429" t="str">
        <v>In McMurdo</v>
      </c>
      <c r="R8" s="428" t="str">
        <v>-</v>
      </c>
      <c r="S8" s="431" t="str">
        <v>-</v>
      </c>
      <c r="T8" s="431" t="str">
        <v>In McMurdo</v>
      </c>
      <c r="U8" s="431" t="str">
        <v>-</v>
      </c>
      <c r="V8" s="432" t="str">
        <v>-</v>
      </c>
      <c r="W8" s="433" t="str">
        <v>In McMurdo</v>
      </c>
      <c r="X8" s="433" t="str">
        <v>-</v>
      </c>
      <c r="Y8" s="88" t="str">
        <v>-</v>
      </c>
      <c r="Z8" s="434" t="str">
        <v>In McMurdo</v>
      </c>
      <c r="AA8" s="427" t="str">
        <v>-</v>
      </c>
      <c r="AB8" s="435" t="str">
        <v>LC-130/SPoT</v>
      </c>
      <c r="AC8" s="409">
        <v>45261</v>
      </c>
      <c r="AD8" s="409" t="str">
        <v>Yes</v>
      </c>
      <c r="AE8" s="409" t="str">
        <v>In McMurdo</v>
      </c>
      <c r="AF8" s="409" t="str">
        <v>FY24 intra</v>
      </c>
      <c r="AG8" s="409" t="str">
        <v>D. Gibson</v>
      </c>
      <c r="AH8" s="409">
        <v>44477</v>
      </c>
      <c r="AI8" s="409" t="str">
        <v>I. McEwen</v>
      </c>
      <c r="AJ8" s="409">
        <v>44477</v>
      </c>
      <c r="AK8" s="409" t="str">
        <v/>
      </c>
      <c r="AL8" s="9" t="str">
        <v/>
      </c>
    </row>
    <row r="9" spans="1:40" ht="17.100000000000001" hidden="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8">
        <v>43845</v>
      </c>
      <c r="Q9" s="429" t="str">
        <v>In McMurdo</v>
      </c>
      <c r="R9" s="428" t="str">
        <v>-</v>
      </c>
      <c r="S9" s="431" t="str">
        <v>-</v>
      </c>
      <c r="T9" s="431" t="str">
        <v>In McMurdo</v>
      </c>
      <c r="U9" s="431" t="str">
        <v>-</v>
      </c>
      <c r="V9" s="432" t="str">
        <v>-</v>
      </c>
      <c r="W9" s="433" t="str">
        <v>In McMurdo</v>
      </c>
      <c r="X9" s="433" t="str">
        <v>-</v>
      </c>
      <c r="Y9" s="88" t="str">
        <v>-</v>
      </c>
      <c r="Z9" s="434" t="str">
        <v>In McMurdo</v>
      </c>
      <c r="AA9" s="427" t="str">
        <v>-</v>
      </c>
      <c r="AB9" s="435" t="str">
        <v>LC-130/SPoT</v>
      </c>
      <c r="AC9" s="409">
        <v>45261</v>
      </c>
      <c r="AD9" s="409" t="str">
        <v>Yes</v>
      </c>
      <c r="AE9" s="409" t="str">
        <v>In McMurdo</v>
      </c>
      <c r="AF9" s="409" t="str">
        <v>FY24 intra</v>
      </c>
      <c r="AG9" s="409" t="str">
        <v>D. Gibson</v>
      </c>
      <c r="AH9" s="409">
        <v>44477</v>
      </c>
      <c r="AI9" s="409" t="str">
        <v>I. McEwen</v>
      </c>
      <c r="AJ9" s="409">
        <v>44477</v>
      </c>
      <c r="AK9" s="409" t="str">
        <v/>
      </c>
      <c r="AL9" s="9" t="str">
        <v/>
      </c>
    </row>
    <row r="10" spans="1:40" s="91" customFormat="1" ht="31.5" hidden="1"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8">
        <v>43845</v>
      </c>
      <c r="Q10" s="429" t="str">
        <v>In McMurdo</v>
      </c>
      <c r="R10" s="428" t="str">
        <v/>
      </c>
      <c r="S10" s="431" t="str">
        <v/>
      </c>
      <c r="T10" s="431" t="str">
        <v>In McMurdo</v>
      </c>
      <c r="U10" s="431" t="str">
        <v>-</v>
      </c>
      <c r="V10" s="433" t="str">
        <v>-</v>
      </c>
      <c r="W10" s="433" t="str">
        <v>In McMurdo</v>
      </c>
      <c r="X10" s="433" t="str">
        <v>-</v>
      </c>
      <c r="Y10" s="88" t="str">
        <v>-</v>
      </c>
      <c r="Z10" s="434" t="str">
        <v>In McMurdo</v>
      </c>
      <c r="AA10" s="427" t="str">
        <v>-</v>
      </c>
      <c r="AB10" s="435" t="str">
        <v>LC-130/SPoT</v>
      </c>
      <c r="AC10" s="409">
        <v>45275</v>
      </c>
      <c r="AD10" s="409" t="str">
        <v>No</v>
      </c>
      <c r="AE10" s="409" t="str">
        <v>In McMurdo</v>
      </c>
      <c r="AF10" s="409" t="str">
        <v>FY24 intra</v>
      </c>
      <c r="AG10" s="409" t="str">
        <v>D. Gibson</v>
      </c>
      <c r="AH10" s="409">
        <v>44477</v>
      </c>
      <c r="AI10" s="409" t="str">
        <v>I. McEwen</v>
      </c>
      <c r="AJ10" s="409">
        <v>44477</v>
      </c>
      <c r="AK10" s="409" t="str">
        <v>Bermed in McMurdo - SPOTSA on UNL flatrack</v>
      </c>
      <c r="AL10" s="9" t="str">
        <v/>
      </c>
      <c r="AM10" s="9"/>
      <c r="AN10" s="9"/>
    </row>
    <row r="11" spans="1:40" ht="44.1" hidden="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8">
        <v>43845</v>
      </c>
      <c r="Q11" s="429" t="str">
        <v>In McMurdo</v>
      </c>
      <c r="R11" s="428"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09">
        <v>44927</v>
      </c>
      <c r="AD11" s="409" t="str">
        <v>Yes</v>
      </c>
      <c r="AE11" s="409" t="str">
        <v>In McMurdo</v>
      </c>
      <c r="AF11" s="409" t="str">
        <v>FY23 intra</v>
      </c>
      <c r="AG11" s="409" t="str">
        <v>D. Gibson</v>
      </c>
      <c r="AH11" s="409">
        <v>44477</v>
      </c>
      <c r="AI11" s="409" t="str">
        <v>I. McEwen</v>
      </c>
      <c r="AJ11" s="409">
        <v>44477</v>
      </c>
      <c r="AK11" s="409" t="str">
        <v>Bermed in McMurdo - SPOTSA on UNL flatrack - overland shipment preferred due to complexities of air transport certification - can be laid on side once drained</v>
      </c>
      <c r="AL11" s="9" t="str">
        <v/>
      </c>
    </row>
    <row r="12" spans="1:40" ht="51" hidden="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8">
        <v>43845</v>
      </c>
      <c r="Q12" s="429" t="str">
        <v>In McMurdo</v>
      </c>
      <c r="R12" s="428" t="str">
        <v/>
      </c>
      <c r="S12" s="431" t="str">
        <v/>
      </c>
      <c r="T12" s="431" t="str">
        <v>In McMurdo</v>
      </c>
      <c r="U12" s="431" t="str">
        <v>-</v>
      </c>
      <c r="V12" s="433" t="str">
        <v>-</v>
      </c>
      <c r="W12" s="433" t="str">
        <v>In McMurdo</v>
      </c>
      <c r="X12" s="433" t="str">
        <v>-</v>
      </c>
      <c r="Y12" s="88" t="str">
        <v>-</v>
      </c>
      <c r="Z12" s="434" t="str">
        <v>In McMurdo</v>
      </c>
      <c r="AA12" s="409" t="str">
        <v>-</v>
      </c>
      <c r="AB12" s="435" t="str">
        <v>SPoT</v>
      </c>
      <c r="AC12" s="409">
        <v>45292</v>
      </c>
      <c r="AD12" s="409" t="str">
        <v>Yes</v>
      </c>
      <c r="AE12" s="409" t="str">
        <v>In McMurdo</v>
      </c>
      <c r="AF12" s="409" t="str">
        <v>FY24 intra</v>
      </c>
      <c r="AG12" s="409" t="str">
        <v>D. Gibson</v>
      </c>
      <c r="AH12" s="409">
        <v>44477</v>
      </c>
      <c r="AI12" s="409" t="str">
        <v>I. McEwen</v>
      </c>
      <c r="AJ12" s="409">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ht="5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399" t="str">
        <v>Already at PTH</v>
      </c>
      <c r="P14" s="429">
        <v>44193</v>
      </c>
      <c r="Q14" s="94" t="str">
        <v>Already at PTH</v>
      </c>
      <c r="R14" s="429">
        <v>44211</v>
      </c>
      <c r="S14" s="430" t="str">
        <v>Truck</v>
      </c>
      <c r="T14" s="12" t="str">
        <v>PTH - MCM</v>
      </c>
      <c r="U14" s="431" t="str">
        <v>-</v>
      </c>
      <c r="V14" s="432" t="str">
        <v>USAP Vessel</v>
      </c>
      <c r="W14" s="433" t="str">
        <v>USAP Vessel</v>
      </c>
      <c r="X14" s="433" t="str">
        <v>-</v>
      </c>
      <c r="Y14" s="100" t="str">
        <v>-</v>
      </c>
      <c r="Z14" s="426">
        <v>44598</v>
      </c>
      <c r="AA14" s="427" t="str">
        <v>-</v>
      </c>
      <c r="AB14" s="435" t="str">
        <v>LC-130/SPoT</v>
      </c>
      <c r="AC14" s="435">
        <v>44910</v>
      </c>
      <c r="AD14" s="409" t="str">
        <v>No*</v>
      </c>
      <c r="AE14" s="409" t="str">
        <v>FY22 inter</v>
      </c>
      <c r="AF14" s="409" t="str">
        <v>FY23 intra</v>
      </c>
      <c r="AG14" s="435" t="str">
        <v>D. Gibson</v>
      </c>
      <c r="AH14" s="435">
        <v>44477</v>
      </c>
      <c r="AI14" s="435" t="str">
        <v>I. McEwen</v>
      </c>
      <c r="AJ14" s="435">
        <v>44477</v>
      </c>
      <c r="AK14" s="409" t="str">
        <v>*While this shipment is not on the critical path additional ASC crane support will be required to overcome delayed arrival or sleds furnished from the South Pole inventory</v>
      </c>
      <c r="AL14" s="9" t="str">
        <v/>
      </c>
    </row>
    <row r="15" spans="1:40" ht="33.950000000000003" hidden="1">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35" t="str">
        <v>Already at PTH</v>
      </c>
      <c r="P15" s="428">
        <v>44112</v>
      </c>
      <c r="Q15" s="94" t="str">
        <v>Already at PTH</v>
      </c>
      <c r="R15" s="428">
        <v>44159</v>
      </c>
      <c r="S15" s="430" t="str">
        <v>Truck</v>
      </c>
      <c r="T15" s="12" t="str">
        <v>PTH - MCM</v>
      </c>
      <c r="U15" s="431" t="str">
        <v>-</v>
      </c>
      <c r="V15" s="432" t="str">
        <v>USAP Vessel</v>
      </c>
      <c r="W15" s="433" t="str">
        <v>USAP Vessel</v>
      </c>
      <c r="X15" s="433" t="str">
        <v>-</v>
      </c>
      <c r="Y15" s="100" t="str">
        <v>-</v>
      </c>
      <c r="Z15" s="434">
        <v>44963</v>
      </c>
      <c r="AA15" s="409" t="str">
        <v>-</v>
      </c>
      <c r="AB15" s="435" t="str">
        <v>LC-130/SPoT</v>
      </c>
      <c r="AC15" s="409">
        <v>45292</v>
      </c>
      <c r="AD15" s="409" t="str">
        <v>Yes</v>
      </c>
      <c r="AE15" s="409" t="str">
        <v>FY23 inter</v>
      </c>
      <c r="AF15" s="61" t="str">
        <v>FY24 intra</v>
      </c>
      <c r="AG15" s="61" t="str">
        <v>D. Gibson</v>
      </c>
      <c r="AH15" s="61">
        <v>44477</v>
      </c>
      <c r="AI15" s="61" t="str">
        <v>I. McEwen</v>
      </c>
      <c r="AJ15" s="409">
        <v>44477</v>
      </c>
      <c r="AK15" s="409" t="str">
        <v/>
      </c>
      <c r="AL15" s="9" t="str">
        <v/>
      </c>
    </row>
    <row r="16" spans="1:40" ht="33.950000000000003" hidden="1">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35" t="str">
        <v>Already at PTH</v>
      </c>
      <c r="P16" s="428">
        <v>44112</v>
      </c>
      <c r="Q16" s="94" t="str">
        <v>Already at PTH</v>
      </c>
      <c r="R16" s="428">
        <v>44159</v>
      </c>
      <c r="S16" s="430" t="str">
        <v>Truck</v>
      </c>
      <c r="T16" s="12" t="str">
        <v>PTH - MCM</v>
      </c>
      <c r="U16" s="431" t="str">
        <v>-</v>
      </c>
      <c r="V16" s="432" t="str">
        <v>USAP Vessel</v>
      </c>
      <c r="W16" s="433" t="str">
        <v>USAP Vessel</v>
      </c>
      <c r="X16" s="433" t="str">
        <v>-</v>
      </c>
      <c r="Y16" s="100" t="str">
        <v>-</v>
      </c>
      <c r="Z16" s="434">
        <v>44963</v>
      </c>
      <c r="AA16" s="409" t="str">
        <v>-</v>
      </c>
      <c r="AB16" s="435" t="str">
        <v>LC-130/SPoT</v>
      </c>
      <c r="AC16" s="409">
        <v>45292</v>
      </c>
      <c r="AD16" s="409" t="str">
        <v>Yes</v>
      </c>
      <c r="AE16" s="409" t="str">
        <v>FY23 inter</v>
      </c>
      <c r="AF16" s="61" t="str">
        <v>FY24 intra</v>
      </c>
      <c r="AG16" s="61" t="str">
        <v>D. Gibson</v>
      </c>
      <c r="AH16" s="61">
        <v>44477</v>
      </c>
      <c r="AI16" s="61" t="str">
        <v>I. McEwen</v>
      </c>
      <c r="AJ16" s="409">
        <v>44477</v>
      </c>
      <c r="AK16" s="409" t="str">
        <v/>
      </c>
      <c r="AL16" s="9" t="str">
        <v/>
      </c>
    </row>
    <row r="17" spans="1:40" ht="34.35" hidden="1"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35" t="str">
        <v>Already at PTH</v>
      </c>
      <c r="P17" s="428">
        <v>44041</v>
      </c>
      <c r="Q17" s="94" t="str">
        <v>Already at PTH</v>
      </c>
      <c r="R17" s="428">
        <v>44058</v>
      </c>
      <c r="S17" s="430" t="str">
        <v>Truck</v>
      </c>
      <c r="T17" s="12" t="str">
        <v>PTH - MCM</v>
      </c>
      <c r="U17" s="431" t="str">
        <v>-</v>
      </c>
      <c r="V17" s="432" t="str">
        <v>USAP Vessel</v>
      </c>
      <c r="W17" s="433" t="str">
        <v>USAP Vessel</v>
      </c>
      <c r="X17" s="433" t="str">
        <v>-</v>
      </c>
      <c r="Y17" s="100" t="str">
        <v>-</v>
      </c>
      <c r="Z17" s="434">
        <v>44963</v>
      </c>
      <c r="AA17" s="427" t="str">
        <v>-</v>
      </c>
      <c r="AB17" s="435" t="str">
        <v>LC-130/SPoT</v>
      </c>
      <c r="AC17" s="409">
        <v>45292</v>
      </c>
      <c r="AD17" s="409" t="str">
        <v>Yes</v>
      </c>
      <c r="AE17" s="409" t="str">
        <v>FY23 inter</v>
      </c>
      <c r="AF17" s="61" t="str">
        <v>FY24 intra</v>
      </c>
      <c r="AG17" s="61" t="str">
        <v>D. Gibson</v>
      </c>
      <c r="AH17" s="61">
        <v>44477</v>
      </c>
      <c r="AI17" s="61" t="str">
        <v>I. McEwen</v>
      </c>
      <c r="AJ17" s="409">
        <v>44477</v>
      </c>
      <c r="AK17" s="409" t="str">
        <v>Hose to be installed on Main Supply Hose Reel upon arrival at Pole</v>
      </c>
      <c r="AL17" s="9" t="str">
        <v/>
      </c>
    </row>
    <row r="18" spans="1:40" ht="34.35" hidden="1"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35" t="str">
        <v>Already at PTH</v>
      </c>
      <c r="P18" s="428">
        <v>44154</v>
      </c>
      <c r="Q18" s="94" t="str">
        <v>Already at PTH</v>
      </c>
      <c r="R18" s="428">
        <v>44211</v>
      </c>
      <c r="S18" s="430" t="str">
        <v>Truck</v>
      </c>
      <c r="T18" s="12" t="str">
        <v>PTH - MCM</v>
      </c>
      <c r="U18" s="431" t="str">
        <v>-</v>
      </c>
      <c r="V18" s="432" t="str">
        <v>USAP Vessel</v>
      </c>
      <c r="W18" s="433" t="str">
        <v>USAP Vessel</v>
      </c>
      <c r="X18" s="433" t="str">
        <v>-</v>
      </c>
      <c r="Y18" s="100" t="str">
        <v>-</v>
      </c>
      <c r="Z18" s="434">
        <v>44963</v>
      </c>
      <c r="AA18" s="427" t="str">
        <v>-</v>
      </c>
      <c r="AB18" s="435" t="str">
        <v>LC-130/SPoT</v>
      </c>
      <c r="AC18" s="409">
        <v>45292</v>
      </c>
      <c r="AD18" s="409" t="str">
        <v>Yes</v>
      </c>
      <c r="AE18" s="409" t="str">
        <v>FY23 inter</v>
      </c>
      <c r="AF18" s="61" t="str">
        <v>FY24 intra</v>
      </c>
      <c r="AG18" s="61" t="str">
        <v>D. Gibson</v>
      </c>
      <c r="AH18" s="61">
        <v>44477</v>
      </c>
      <c r="AI18" s="61" t="str">
        <v>I. McEwen</v>
      </c>
      <c r="AJ18" s="409">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63" t="str">
        <v/>
      </c>
      <c r="F19" s="64" t="str">
        <v/>
      </c>
      <c r="G19" s="44" t="str">
        <v>TEU=&gt;</v>
      </c>
      <c r="H19" s="63">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ht="39.75" customHeight="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56">
        <v>12</v>
      </c>
      <c r="P20" s="429">
        <v>44503</v>
      </c>
      <c r="Q20" s="429" t="str">
        <v>UWM - PTH</v>
      </c>
      <c r="R20" s="429">
        <v>44515</v>
      </c>
      <c r="S20" s="430" t="str">
        <v xml:space="preserve"> Truck</v>
      </c>
      <c r="T20" s="440" t="str">
        <v>PTH - MCM</v>
      </c>
      <c r="U20" s="47" t="str">
        <v>-</v>
      </c>
      <c r="V20" s="432" t="str">
        <v>USAP Vessel</v>
      </c>
      <c r="W20" s="433" t="str">
        <v>USAP Vessel</v>
      </c>
      <c r="X20" s="433" t="str">
        <v>-</v>
      </c>
      <c r="Y20" s="100" t="str">
        <v>-</v>
      </c>
      <c r="Z20" s="426">
        <v>44598</v>
      </c>
      <c r="AA20" s="409" t="str">
        <v>-</v>
      </c>
      <c r="AB20" s="435" t="str">
        <v>LC-130</v>
      </c>
      <c r="AC20" s="435">
        <v>44880</v>
      </c>
      <c r="AD20" s="409" t="str">
        <v>Yes</v>
      </c>
      <c r="AE20" s="409" t="str">
        <v>FY22 inter</v>
      </c>
      <c r="AF20" s="61" t="str">
        <v>FY23 intra</v>
      </c>
      <c r="AG20" s="435" t="str">
        <v>D. Gibson</v>
      </c>
      <c r="AH20" s="204">
        <v>44477</v>
      </c>
      <c r="AI20" s="204" t="str">
        <v>I. McEwen</v>
      </c>
      <c r="AJ20" s="435">
        <v>44477</v>
      </c>
      <c r="AK20" s="61" t="str">
        <v xml:space="preserve">8' container moves with contents by LC130 or is broken down for movement by Basler. Packing in progress. </v>
      </c>
      <c r="AL20" s="9" t="str">
        <v/>
      </c>
    </row>
    <row r="21" spans="1:40" ht="47.25"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56">
        <v>2</v>
      </c>
      <c r="P21" s="429">
        <v>44513</v>
      </c>
      <c r="Q21" s="429" t="str">
        <v>UWM - PTH</v>
      </c>
      <c r="R21" s="429">
        <v>44515</v>
      </c>
      <c r="S21" s="430" t="str">
        <v xml:space="preserve"> Truck</v>
      </c>
      <c r="T21" s="440" t="str">
        <v>PTH - MCM</v>
      </c>
      <c r="U21" s="47" t="str">
        <v>-</v>
      </c>
      <c r="V21" s="432" t="str">
        <v>USAP Vessel</v>
      </c>
      <c r="W21" s="433" t="str">
        <v>USAP Vessel</v>
      </c>
      <c r="X21" s="433" t="str">
        <v>-</v>
      </c>
      <c r="Y21" s="100" t="str">
        <v>-</v>
      </c>
      <c r="Z21" s="426">
        <v>44598</v>
      </c>
      <c r="AA21" s="409" t="str">
        <v>-</v>
      </c>
      <c r="AB21" s="435" t="str">
        <v>LC-130/SPoT</v>
      </c>
      <c r="AC21" s="435">
        <v>44896</v>
      </c>
      <c r="AD21" s="409" t="str">
        <v>Yes</v>
      </c>
      <c r="AE21" s="409" t="str">
        <v>FY22 inter</v>
      </c>
      <c r="AF21" s="409" t="str">
        <v>FY23 intra</v>
      </c>
      <c r="AG21" s="435" t="str">
        <v>D. Gibson</v>
      </c>
      <c r="AH21" s="435">
        <v>44477</v>
      </c>
      <c r="AI21" s="435" t="str">
        <v>I. McEwen</v>
      </c>
      <c r="AJ21" s="435">
        <v>44477</v>
      </c>
      <c r="AK21" s="409" t="str">
        <v xml:space="preserve">For air shipment container contents will need to be unloaded and palletized. Container procurement delayed by shortage. Packing in progress. </v>
      </c>
      <c r="AL21" s="9" t="str">
        <v/>
      </c>
    </row>
    <row r="22" spans="1:40" ht="5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56" t="str">
        <v>in transit</v>
      </c>
      <c r="P22" s="429">
        <v>44502</v>
      </c>
      <c r="Q22" s="429" t="str">
        <v>UWM - PTH</v>
      </c>
      <c r="R22" s="429">
        <v>44515</v>
      </c>
      <c r="S22" s="430" t="str">
        <v>Truck</v>
      </c>
      <c r="T22" s="431" t="str">
        <v>PTH - MCM</v>
      </c>
      <c r="U22" s="47" t="str">
        <v>-</v>
      </c>
      <c r="V22" s="432" t="str">
        <v>USAP Vessel</v>
      </c>
      <c r="W22" s="433" t="str">
        <v>USAP Vessel</v>
      </c>
      <c r="X22" s="433" t="str">
        <v>-</v>
      </c>
      <c r="Y22" s="100" t="str">
        <v>-</v>
      </c>
      <c r="Z22" s="426">
        <v>44598</v>
      </c>
      <c r="AA22" s="409" t="str">
        <v>-</v>
      </c>
      <c r="AB22" s="435" t="str">
        <v>LC-130/SPoT</v>
      </c>
      <c r="AC22" s="435">
        <v>44910</v>
      </c>
      <c r="AD22" s="409" t="str">
        <v>Yes</v>
      </c>
      <c r="AE22" s="409" t="str">
        <v>FY22 inter</v>
      </c>
      <c r="AF22" s="409" t="str">
        <v>FY23 intra</v>
      </c>
      <c r="AG22" s="435" t="str">
        <v>D. Gibson</v>
      </c>
      <c r="AH22" s="435">
        <v>44477</v>
      </c>
      <c r="AI22" s="435" t="str">
        <v>I. McEwen</v>
      </c>
      <c r="AJ22" s="435">
        <v>44477</v>
      </c>
      <c r="AK22" s="409" t="str">
        <v>For air shipment container contents will need to be unloaded and palletized</v>
      </c>
      <c r="AL22" s="9" t="str">
        <v/>
      </c>
    </row>
    <row r="23" spans="1:40" ht="79.5"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399" t="str">
        <v>in transit</v>
      </c>
      <c r="P23" s="429">
        <v>44502</v>
      </c>
      <c r="Q23" s="429" t="str">
        <v>UWM - PTH</v>
      </c>
      <c r="R23" s="429">
        <v>44515</v>
      </c>
      <c r="S23" s="430" t="str">
        <v xml:space="preserve"> Truck</v>
      </c>
      <c r="T23" s="440" t="str">
        <v>PTH - MCM</v>
      </c>
      <c r="U23" s="431" t="str">
        <v>-</v>
      </c>
      <c r="V23" s="432" t="str">
        <v>USAP Vessel</v>
      </c>
      <c r="W23" s="433" t="str">
        <v>USAP Vessel</v>
      </c>
      <c r="X23" s="433" t="str">
        <v>-</v>
      </c>
      <c r="Y23" s="100" t="str">
        <v>-</v>
      </c>
      <c r="Z23" s="426">
        <v>44598</v>
      </c>
      <c r="AA23" s="409" t="str">
        <v>-</v>
      </c>
      <c r="AB23" s="435" t="str">
        <v>LC-130/SPoT</v>
      </c>
      <c r="AC23" s="435">
        <v>44910</v>
      </c>
      <c r="AD23" s="409" t="str">
        <v>Yes*</v>
      </c>
      <c r="AE23" s="409" t="str">
        <v>FY22 inter</v>
      </c>
      <c r="AF23" s="61" t="str">
        <v>FY23 intra</v>
      </c>
      <c r="AG23" s="435" t="str">
        <v>D. Gibson</v>
      </c>
      <c r="AH23" s="204">
        <v>44477</v>
      </c>
      <c r="AI23" s="204" t="str">
        <v>I. McEwen</v>
      </c>
      <c r="AJ23" s="435">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ht="36.75"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56" t="str">
        <v>in transit</v>
      </c>
      <c r="P24" s="429">
        <v>44495</v>
      </c>
      <c r="Q24" s="429" t="str">
        <v>UWM - PTH</v>
      </c>
      <c r="R24" s="429">
        <v>44515</v>
      </c>
      <c r="S24" s="430" t="str">
        <v xml:space="preserve"> Truck</v>
      </c>
      <c r="T24" s="440" t="str">
        <v>PTH - MCM</v>
      </c>
      <c r="U24" s="47" t="str">
        <v>-</v>
      </c>
      <c r="V24" s="432" t="str">
        <v>USAP Vessel</v>
      </c>
      <c r="W24" s="433" t="str">
        <v>USAP Vessel</v>
      </c>
      <c r="X24" s="433" t="str">
        <v>-</v>
      </c>
      <c r="Y24" s="100" t="str">
        <v>-</v>
      </c>
      <c r="Z24" s="426">
        <v>44598</v>
      </c>
      <c r="AA24" s="409" t="str">
        <v>-</v>
      </c>
      <c r="AB24" s="435" t="str">
        <v>LC-130/SPoT</v>
      </c>
      <c r="AC24" s="435">
        <v>44927</v>
      </c>
      <c r="AD24" s="409" t="str">
        <v>Yes</v>
      </c>
      <c r="AE24" s="409" t="str">
        <v>FY22 inter</v>
      </c>
      <c r="AF24" s="61" t="str">
        <v>FY23 intra</v>
      </c>
      <c r="AG24" s="435" t="str">
        <v>D. Gibson</v>
      </c>
      <c r="AH24" s="204">
        <v>44477</v>
      </c>
      <c r="AI24" s="204" t="str">
        <v>I. McEwen</v>
      </c>
      <c r="AJ24" s="435">
        <v>44477</v>
      </c>
      <c r="AK24" s="61" t="str">
        <v>Weight from Gen 1 shipment information see picture.</v>
      </c>
      <c r="AL24" s="9" t="str">
        <v/>
      </c>
    </row>
    <row r="25" spans="1:40" ht="27.75"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56">
        <v>7</v>
      </c>
      <c r="P25" s="429">
        <v>44508</v>
      </c>
      <c r="Q25" s="429" t="str">
        <v>UWM - PTH</v>
      </c>
      <c r="R25" s="429">
        <v>44515</v>
      </c>
      <c r="S25" s="430" t="str">
        <v xml:space="preserve"> Truck</v>
      </c>
      <c r="T25" s="440" t="str">
        <v>PTH - MCM</v>
      </c>
      <c r="U25" s="47" t="str">
        <v>-</v>
      </c>
      <c r="V25" s="432" t="str">
        <v>USAP Vessel</v>
      </c>
      <c r="W25" s="433" t="str">
        <v>USAP Vessel</v>
      </c>
      <c r="X25" s="433" t="str">
        <v>-</v>
      </c>
      <c r="Y25" s="100" t="str">
        <v>-</v>
      </c>
      <c r="Z25" s="426">
        <v>44598</v>
      </c>
      <c r="AA25" s="409" t="str">
        <v>-</v>
      </c>
      <c r="AB25" s="435" t="str">
        <v>LC-130/SPoT</v>
      </c>
      <c r="AC25" s="435">
        <v>44927</v>
      </c>
      <c r="AD25" s="409" t="str">
        <v>Yes</v>
      </c>
      <c r="AE25" s="409" t="str">
        <v>FY22 inter</v>
      </c>
      <c r="AF25" s="61" t="str">
        <v>FY23 intra</v>
      </c>
      <c r="AG25" s="435" t="str">
        <v>D. Gibson</v>
      </c>
      <c r="AH25" s="204">
        <v>44477</v>
      </c>
      <c r="AI25" s="204" t="str">
        <v>I. McEwen</v>
      </c>
      <c r="AJ25" s="435">
        <v>44477</v>
      </c>
      <c r="AK25" s="61" t="str">
        <v xml:space="preserve">Required onsite in FS Y1 for final integration and pre-drill activities. Shrink wrap contractor rescheduled for later date. </v>
      </c>
      <c r="AL25" s="9" t="str">
        <v/>
      </c>
    </row>
    <row r="26" spans="1:40" s="13" customFormat="1" ht="68.099999999999994" hidden="1">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26">
        <v>381</v>
      </c>
      <c r="P26" s="443">
        <v>44301</v>
      </c>
      <c r="Q26" s="429" t="str">
        <v>UWM - PTH</v>
      </c>
      <c r="R26" s="428">
        <v>44682</v>
      </c>
      <c r="S26" s="430" t="str">
        <v>Truck</v>
      </c>
      <c r="T26" s="431" t="str">
        <v>PTH - CHC</v>
      </c>
      <c r="U26" s="431" t="str">
        <v>-</v>
      </c>
      <c r="V26" s="432" t="str">
        <v>ComSur</v>
      </c>
      <c r="W26" s="433" t="str">
        <v>CHC-MCM</v>
      </c>
      <c r="X26" s="433" t="str">
        <v>-</v>
      </c>
      <c r="Y26" s="426" t="str">
        <v>USAP Air</v>
      </c>
      <c r="Z26" s="434">
        <v>44866</v>
      </c>
      <c r="AA26" s="434" t="str">
        <v>-</v>
      </c>
      <c r="AB26" s="426" t="str">
        <v>LC-130</v>
      </c>
      <c r="AC26" s="444">
        <v>44896</v>
      </c>
      <c r="AD26" s="409" t="str">
        <v>Yes</v>
      </c>
      <c r="AE26" s="409" t="str">
        <v>FY23 inter</v>
      </c>
      <c r="AF26" s="65" t="str">
        <v>FY23 intra</v>
      </c>
      <c r="AG26" s="444" t="str">
        <v>D. Gibson</v>
      </c>
      <c r="AH26" s="65">
        <v>44477</v>
      </c>
      <c r="AI26" s="65" t="str">
        <v>I. McEwen</v>
      </c>
      <c r="AJ26" s="444">
        <v>44477</v>
      </c>
      <c r="AK26" s="65" t="str">
        <v>Weight estimated</v>
      </c>
      <c r="AL26" s="13" t="str">
        <v/>
      </c>
    </row>
    <row r="27" spans="1:40" ht="33.950000000000003" hidden="1">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35">
        <v>31</v>
      </c>
      <c r="P27" s="428">
        <v>45108</v>
      </c>
      <c r="Q27" s="429" t="str">
        <v>UWM - PTH</v>
      </c>
      <c r="R27" s="428">
        <v>45139</v>
      </c>
      <c r="S27" s="430" t="str">
        <v>Truck</v>
      </c>
      <c r="T27" s="431" t="str">
        <v>PTH - CHC</v>
      </c>
      <c r="U27" s="431" t="str">
        <v>-</v>
      </c>
      <c r="V27" s="432" t="str">
        <v>ComSur</v>
      </c>
      <c r="W27" s="433" t="str">
        <v>CHC-MCM</v>
      </c>
      <c r="X27" s="433" t="str">
        <v>-</v>
      </c>
      <c r="Y27" s="435" t="str">
        <v>USAP Air</v>
      </c>
      <c r="Z27" s="434">
        <v>45231</v>
      </c>
      <c r="AA27" s="409" t="str">
        <v>-</v>
      </c>
      <c r="AB27" s="435" t="str">
        <v>LC-130</v>
      </c>
      <c r="AC27" s="409">
        <v>45261</v>
      </c>
      <c r="AD27" s="409" t="str">
        <v>Yes</v>
      </c>
      <c r="AE27" s="409" t="str">
        <v>FY24 inter</v>
      </c>
      <c r="AF27" s="409" t="str">
        <v>FY24 intra</v>
      </c>
      <c r="AG27" s="409" t="str">
        <v>J. Kelley</v>
      </c>
      <c r="AH27" s="409">
        <v>44481</v>
      </c>
      <c r="AI27" s="409" t="str">
        <v>D. Tosi</v>
      </c>
      <c r="AJ27" s="409">
        <v>44481</v>
      </c>
      <c r="AK27" s="409" t="str">
        <v/>
      </c>
      <c r="AL27" s="9" t="str">
        <v/>
      </c>
    </row>
    <row r="28" spans="1:40" ht="33.75" hidden="1" customHeight="1">
      <c r="A28" s="35">
        <v>1.4</v>
      </c>
      <c r="B28" s="51" t="str">
        <v>Installation</v>
      </c>
      <c r="C28" s="21" t="str">
        <v>ICL patch cables and patch panels</v>
      </c>
      <c r="D28" s="1"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35">
        <v>61</v>
      </c>
      <c r="P28" s="428">
        <v>45078</v>
      </c>
      <c r="Q28" s="429" t="str">
        <v>UWM - PTH</v>
      </c>
      <c r="R28" s="428">
        <v>45139</v>
      </c>
      <c r="S28" s="430" t="str">
        <v>Truck</v>
      </c>
      <c r="T28" s="431" t="str">
        <v>PTH - CHC</v>
      </c>
      <c r="U28" s="431" t="str">
        <v>-</v>
      </c>
      <c r="V28" s="432" t="str">
        <v>ComSur</v>
      </c>
      <c r="W28" s="433" t="str">
        <v>CHC-MCM</v>
      </c>
      <c r="X28" s="433" t="str">
        <v>-</v>
      </c>
      <c r="Y28" s="435" t="str">
        <v>USAP Air</v>
      </c>
      <c r="Z28" s="434">
        <v>45231</v>
      </c>
      <c r="AA28" s="427" t="str">
        <v>-</v>
      </c>
      <c r="AB28" s="435" t="str">
        <v>LC-130</v>
      </c>
      <c r="AC28" s="409">
        <v>45261</v>
      </c>
      <c r="AD28" s="409" t="str">
        <v>Yes</v>
      </c>
      <c r="AE28" s="409" t="str">
        <v>FY24 inter</v>
      </c>
      <c r="AF28" s="409" t="str">
        <v>FY24 intra</v>
      </c>
      <c r="AG28" s="409" t="str">
        <v>J. Kelley</v>
      </c>
      <c r="AH28" s="409">
        <v>44481</v>
      </c>
      <c r="AI28" s="409" t="str">
        <v>D. Tosi</v>
      </c>
      <c r="AJ28" s="409">
        <v>44481</v>
      </c>
      <c r="AK28" s="409" t="str">
        <v xml:space="preserve">(*) storage in McMurdo pending low temperature test </v>
      </c>
      <c r="AL28" s="9" t="str">
        <v/>
      </c>
    </row>
    <row r="29" spans="1:40" s="27" customFormat="1" ht="33.950000000000003" hidden="1">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78">
        <v>381</v>
      </c>
      <c r="P29" s="98">
        <v>44301</v>
      </c>
      <c r="Q29" s="95" t="str">
        <v>UWM - PTH</v>
      </c>
      <c r="R29" s="99">
        <v>44682</v>
      </c>
      <c r="S29" s="430" t="str">
        <v xml:space="preserve"> Truck</v>
      </c>
      <c r="T29" s="97" t="str">
        <v>PTH - CHC</v>
      </c>
      <c r="U29" s="431" t="str">
        <v>-</v>
      </c>
      <c r="V29" s="432" t="str">
        <v>ComSur</v>
      </c>
      <c r="W29" s="79" t="str">
        <v>CHC-MCM</v>
      </c>
      <c r="X29" s="433" t="str">
        <v>-</v>
      </c>
      <c r="Y29" s="426" t="str">
        <v>USAP Air</v>
      </c>
      <c r="Z29" s="10">
        <v>44866</v>
      </c>
      <c r="AA29" s="10" t="str">
        <v>-</v>
      </c>
      <c r="AB29" s="78" t="str">
        <v xml:space="preserve">LC-130 </v>
      </c>
      <c r="AC29" s="26">
        <v>44896</v>
      </c>
      <c r="AD29" s="409" t="str">
        <v>Yes</v>
      </c>
      <c r="AE29" s="409" t="str">
        <v>FY23 inter</v>
      </c>
      <c r="AF29" s="34" t="str">
        <v>FY23 intra</v>
      </c>
      <c r="AG29" s="26" t="str">
        <v>D. Gibson</v>
      </c>
      <c r="AH29" s="66">
        <v>44477</v>
      </c>
      <c r="AI29" s="66" t="str">
        <v>I. McEwen</v>
      </c>
      <c r="AJ29" s="66">
        <v>44477</v>
      </c>
      <c r="AK29" s="66" t="str">
        <v/>
      </c>
      <c r="AL29" s="27" t="str">
        <v/>
      </c>
    </row>
    <row r="30" spans="1:40" s="27" customFormat="1" ht="33.950000000000003" hidden="1">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78">
        <v>381</v>
      </c>
      <c r="P30" s="98">
        <v>44301</v>
      </c>
      <c r="Q30" s="95" t="str">
        <v>UWM - PTH</v>
      </c>
      <c r="R30" s="99">
        <v>44682</v>
      </c>
      <c r="S30" s="430" t="str">
        <v xml:space="preserve"> Truck</v>
      </c>
      <c r="T30" s="97" t="str">
        <v>PTH - CHC</v>
      </c>
      <c r="U30" s="431" t="str">
        <v>-</v>
      </c>
      <c r="V30" s="432" t="str">
        <v>ComSur</v>
      </c>
      <c r="W30" s="79" t="str">
        <v>CHC-MCM</v>
      </c>
      <c r="X30" s="433" t="str">
        <v>-</v>
      </c>
      <c r="Y30" s="426" t="str">
        <v>USAP Air</v>
      </c>
      <c r="Z30" s="10">
        <v>44866</v>
      </c>
      <c r="AA30" s="26" t="str">
        <v>-</v>
      </c>
      <c r="AB30" s="78" t="str">
        <v>LC-130/SPoT</v>
      </c>
      <c r="AC30" s="26">
        <v>44896</v>
      </c>
      <c r="AD30" s="409" t="str">
        <v>Yes</v>
      </c>
      <c r="AE30" s="409" t="str">
        <v>FY23 inter</v>
      </c>
      <c r="AF30" s="34" t="str">
        <v>FY23 intra</v>
      </c>
      <c r="AG30" s="26" t="str">
        <v>D. Gibson</v>
      </c>
      <c r="AH30" s="66">
        <v>44477</v>
      </c>
      <c r="AI30" s="66" t="str">
        <v>I. McEwen</v>
      </c>
      <c r="AJ30" s="66">
        <v>44477</v>
      </c>
      <c r="AK30" s="66" t="str">
        <v/>
      </c>
      <c r="AL30" s="27" t="str">
        <v/>
      </c>
    </row>
    <row r="31" spans="1:40" ht="41.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73">
        <v>157</v>
      </c>
      <c r="P31" s="429">
        <v>44358</v>
      </c>
      <c r="Q31" s="95" t="str">
        <v>UWM - PTH</v>
      </c>
      <c r="R31" s="429">
        <v>44515</v>
      </c>
      <c r="S31" s="430" t="str">
        <v>Truck</v>
      </c>
      <c r="T31" s="12" t="str">
        <v>PTH - MCM</v>
      </c>
      <c r="U31" s="431" t="str">
        <v>-</v>
      </c>
      <c r="V31" s="39" t="str">
        <v>USAP Vessel</v>
      </c>
      <c r="W31" s="433" t="str">
        <v>USAP Vessel</v>
      </c>
      <c r="X31" s="433" t="str">
        <v>-</v>
      </c>
      <c r="Y31" s="100" t="str">
        <v>-</v>
      </c>
      <c r="Z31" s="426">
        <v>44598</v>
      </c>
      <c r="AA31" s="409" t="str">
        <v>-</v>
      </c>
      <c r="AB31" s="435" t="str">
        <v>LC-130/SPoT</v>
      </c>
      <c r="AC31" s="435">
        <v>45261</v>
      </c>
      <c r="AD31" s="409" t="str">
        <v>Yes</v>
      </c>
      <c r="AE31" s="409" t="str">
        <v>FY22 inter</v>
      </c>
      <c r="AF31" s="409" t="str">
        <v>FY24 intra</v>
      </c>
      <c r="AG31" s="435" t="str">
        <v>D. Gibson</v>
      </c>
      <c r="AH31" s="435">
        <v>44477</v>
      </c>
      <c r="AI31" s="435" t="str">
        <v>I. McEwen</v>
      </c>
      <c r="AJ31" s="435">
        <v>44477</v>
      </c>
      <c r="AK31" s="409" t="str">
        <v/>
      </c>
      <c r="AL31" s="9" t="str">
        <v/>
      </c>
    </row>
    <row r="32" spans="1:40" ht="33.950000000000003" hidden="1">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35">
        <v>349</v>
      </c>
      <c r="P32" s="443">
        <v>44531</v>
      </c>
      <c r="Q32" s="429" t="str">
        <v>UWM - PTH</v>
      </c>
      <c r="R32" s="428">
        <v>44880</v>
      </c>
      <c r="S32" s="430" t="str">
        <v>Truck</v>
      </c>
      <c r="T32" s="431" t="str">
        <v>PTH - MCM</v>
      </c>
      <c r="U32" s="431" t="str">
        <v>-</v>
      </c>
      <c r="V32" s="432" t="str">
        <v>USAP Vessel</v>
      </c>
      <c r="W32" s="433" t="str">
        <v>USAP Vessel</v>
      </c>
      <c r="X32" s="433" t="str">
        <v>-</v>
      </c>
      <c r="Y32" s="435" t="str">
        <v>-</v>
      </c>
      <c r="Z32" s="434">
        <v>44963</v>
      </c>
      <c r="AA32" s="409" t="str">
        <v>-</v>
      </c>
      <c r="AB32" s="435" t="str">
        <v>LC-130/SPoT</v>
      </c>
      <c r="AC32" s="409">
        <v>45323</v>
      </c>
      <c r="AD32" s="409" t="str">
        <v>No</v>
      </c>
      <c r="AE32" s="409" t="str">
        <v>FY23 inter</v>
      </c>
      <c r="AF32" s="409" t="str">
        <v>FY24 intra</v>
      </c>
      <c r="AG32" s="409" t="str">
        <v>D. Gibson</v>
      </c>
      <c r="AH32" s="409">
        <v>44477</v>
      </c>
      <c r="AI32" s="409" t="str">
        <v>I. McEwen</v>
      </c>
      <c r="AJ32" s="409">
        <v>44477</v>
      </c>
      <c r="AK32" s="409" t="str">
        <v>Weight and cube used from Gen 1 shipping label still on bull wheel.</v>
      </c>
      <c r="AL32" s="9" t="str">
        <v/>
      </c>
    </row>
    <row r="33" spans="1:38" ht="33.950000000000003" hidden="1">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35">
        <v>31</v>
      </c>
      <c r="P33" s="443">
        <v>44849</v>
      </c>
      <c r="Q33" s="429" t="str">
        <v>UWM - PTH</v>
      </c>
      <c r="R33" s="428">
        <v>44880</v>
      </c>
      <c r="S33" s="430" t="str">
        <v>Truck</v>
      </c>
      <c r="T33" s="431" t="str">
        <v>PTH - MCM</v>
      </c>
      <c r="U33" s="431" t="str">
        <v>-</v>
      </c>
      <c r="V33" s="432" t="str">
        <v>USAP Vessel</v>
      </c>
      <c r="W33" s="433" t="str">
        <v>USAP Vessel</v>
      </c>
      <c r="X33" s="433" t="str">
        <v>-</v>
      </c>
      <c r="Y33" s="435" t="str">
        <v>-</v>
      </c>
      <c r="Z33" s="434">
        <v>44963</v>
      </c>
      <c r="AA33" s="409" t="str">
        <v>-</v>
      </c>
      <c r="AB33" s="435" t="str">
        <v>LC-130/SPoT</v>
      </c>
      <c r="AC33" s="409">
        <v>45275</v>
      </c>
      <c r="AD33" s="409" t="str">
        <v>Yes</v>
      </c>
      <c r="AE33" s="409" t="str">
        <v>FY23 inter</v>
      </c>
      <c r="AF33" s="409" t="str">
        <v>FY24 intra</v>
      </c>
      <c r="AG33" s="409" t="str">
        <v>D. Gibson</v>
      </c>
      <c r="AH33" s="409">
        <v>44477</v>
      </c>
      <c r="AI33" s="409" t="str">
        <v>I. McEwen</v>
      </c>
      <c r="AJ33" s="409">
        <v>44477</v>
      </c>
      <c r="AK33" s="409" t="str">
        <v>Required onsite in FW YR 2 for integration - recent addition, still in development</v>
      </c>
      <c r="AL33" s="9" t="str">
        <v/>
      </c>
    </row>
    <row r="34" spans="1:38" ht="61.5" hidden="1"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35">
        <v>117</v>
      </c>
      <c r="P34" s="443">
        <v>44763</v>
      </c>
      <c r="Q34" s="429" t="str">
        <v>UWM - PTH</v>
      </c>
      <c r="R34" s="428">
        <v>44880</v>
      </c>
      <c r="S34" s="431" t="str">
        <v>Truck</v>
      </c>
      <c r="T34" s="431" t="str">
        <v>PTH - MCM</v>
      </c>
      <c r="U34" s="431" t="str">
        <v>-</v>
      </c>
      <c r="V34" s="433" t="str">
        <v>USAP Vessel</v>
      </c>
      <c r="W34" s="433" t="str">
        <v>USAP Vessel</v>
      </c>
      <c r="X34" s="433" t="str">
        <v>-</v>
      </c>
      <c r="Y34" s="426" t="str">
        <v>-</v>
      </c>
      <c r="Z34" s="434">
        <v>44963</v>
      </c>
      <c r="AA34" s="409" t="str">
        <v>-</v>
      </c>
      <c r="AB34" s="435" t="str">
        <v>LC-130/SPoT</v>
      </c>
      <c r="AC34" s="409">
        <v>45261</v>
      </c>
      <c r="AD34" s="409" t="str">
        <v>Yes</v>
      </c>
      <c r="AE34" s="409" t="str">
        <v>FY23 inter</v>
      </c>
      <c r="AF34" s="61" t="str">
        <v>FY24 intra</v>
      </c>
      <c r="AG34" s="409" t="str">
        <v>D. Gibson</v>
      </c>
      <c r="AH34" s="61">
        <v>44477</v>
      </c>
      <c r="AI34" s="61" t="str">
        <v>I. McEwen</v>
      </c>
      <c r="AJ34" s="409">
        <v>44477</v>
      </c>
      <c r="AK34" s="61" t="str">
        <v>Sensor Handling Facility construction scheduled to begin mid-December FY24</v>
      </c>
      <c r="AL34" s="9" t="str">
        <v/>
      </c>
    </row>
    <row r="35" spans="1:38" ht="23.25" hidden="1" customHeight="1">
      <c r="A35" s="25">
        <v>1.2</v>
      </c>
      <c r="B35" s="48" t="str">
        <v>Drill</v>
      </c>
      <c r="C35" s="1" t="str">
        <v xml:space="preserve">Spare Combo cable </v>
      </c>
      <c r="D35" s="3"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35">
        <v>31</v>
      </c>
      <c r="P35" s="428">
        <v>44849</v>
      </c>
      <c r="Q35" s="429" t="str">
        <v>UWM - PTH</v>
      </c>
      <c r="R35" s="428">
        <v>44880</v>
      </c>
      <c r="S35" s="431" t="str">
        <v>Truck</v>
      </c>
      <c r="T35" s="431" t="str">
        <v>PTH - MCM</v>
      </c>
      <c r="U35" s="431" t="str">
        <v>-</v>
      </c>
      <c r="V35" s="433" t="str">
        <v>USAP Vessel</v>
      </c>
      <c r="W35" s="433" t="str">
        <v>USAP Vessel</v>
      </c>
      <c r="X35" s="433" t="str">
        <v>-</v>
      </c>
      <c r="Y35" s="426" t="str">
        <v>-</v>
      </c>
      <c r="Z35" s="434">
        <v>45328</v>
      </c>
      <c r="AA35" s="409" t="str">
        <v>-</v>
      </c>
      <c r="AB35" s="435" t="str">
        <v>LC-130/SPoT</v>
      </c>
      <c r="AC35" s="409">
        <v>45334</v>
      </c>
      <c r="AD35" s="409" t="str">
        <v>No</v>
      </c>
      <c r="AE35" s="409" t="str">
        <v>FY24 inter</v>
      </c>
      <c r="AF35" s="409" t="str">
        <v>FY24 intra</v>
      </c>
      <c r="AG35" s="409" t="str">
        <v>D. Gibson</v>
      </c>
      <c r="AH35" s="409">
        <v>44477</v>
      </c>
      <c r="AI35" s="409" t="str">
        <v>I. McEwen</v>
      </c>
      <c r="AJ35" s="409">
        <v>44477</v>
      </c>
      <c r="AK35" s="409" t="str">
        <v>Spare required for drill season</v>
      </c>
      <c r="AL35" s="9" t="str">
        <v/>
      </c>
    </row>
    <row r="36" spans="1:38" ht="26.45" hidden="1" customHeight="1">
      <c r="A36" s="25">
        <v>1.2</v>
      </c>
      <c r="B36" s="49" t="str">
        <v>Drill</v>
      </c>
      <c r="C36" s="3" t="str">
        <v>Spare Drill Cable</v>
      </c>
      <c r="D36" s="3"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35">
        <v>31</v>
      </c>
      <c r="P36" s="428">
        <v>44849</v>
      </c>
      <c r="Q36" s="429" t="str">
        <v>UWM - PTH</v>
      </c>
      <c r="R36" s="428">
        <v>44880</v>
      </c>
      <c r="S36" s="431" t="str">
        <v>Truck</v>
      </c>
      <c r="T36" s="431" t="str">
        <v>PTH - MCM</v>
      </c>
      <c r="U36" s="431" t="str">
        <v>-</v>
      </c>
      <c r="V36" s="433" t="str">
        <v>USAP Vessel</v>
      </c>
      <c r="W36" s="433" t="str">
        <v>USAP Vessel</v>
      </c>
      <c r="X36" s="433" t="str">
        <v>-</v>
      </c>
      <c r="Y36" s="426" t="str">
        <v>-</v>
      </c>
      <c r="Z36" s="434">
        <v>45328</v>
      </c>
      <c r="AA36" s="409" t="str">
        <v>-</v>
      </c>
      <c r="AB36" s="435" t="str">
        <v>LC-130/SPoT</v>
      </c>
      <c r="AC36" s="409">
        <v>45334</v>
      </c>
      <c r="AD36" s="409" t="str">
        <v>No</v>
      </c>
      <c r="AE36" s="409" t="str">
        <v>FY24 inter</v>
      </c>
      <c r="AF36" s="409" t="str">
        <v>FY24 intra</v>
      </c>
      <c r="AG36" s="409" t="str">
        <v>D. Gibson</v>
      </c>
      <c r="AH36" s="409">
        <v>44477</v>
      </c>
      <c r="AI36" s="409" t="str">
        <v>I. McEwen</v>
      </c>
      <c r="AJ36" s="409">
        <v>44477</v>
      </c>
      <c r="AK36" s="409" t="str">
        <v>Spare required for drill season</v>
      </c>
      <c r="AL36" s="9" t="str">
        <v/>
      </c>
    </row>
    <row r="37" spans="1:38" ht="33.950000000000003" hidden="1">
      <c r="A37" s="25">
        <v>1.2</v>
      </c>
      <c r="B37" s="48" t="str">
        <v>Drill</v>
      </c>
      <c r="C37" s="3" t="str">
        <v>Computing/controls components</v>
      </c>
      <c r="D37" s="3"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35">
        <v>31</v>
      </c>
      <c r="P37" s="443">
        <v>45108</v>
      </c>
      <c r="Q37" s="429" t="str">
        <v>UWM - PTH</v>
      </c>
      <c r="R37" s="428">
        <v>45139</v>
      </c>
      <c r="S37" s="430" t="str">
        <v>Truck</v>
      </c>
      <c r="T37" s="431" t="str">
        <v>PTH - CHC</v>
      </c>
      <c r="U37" s="431" t="str">
        <v>-</v>
      </c>
      <c r="V37" s="432" t="str">
        <v>ComSur</v>
      </c>
      <c r="W37" s="433" t="str">
        <v>CHC-MCM</v>
      </c>
      <c r="X37" s="433" t="str">
        <v>-</v>
      </c>
      <c r="Y37" s="435" t="str">
        <v>USAP Air</v>
      </c>
      <c r="Z37" s="434">
        <v>45231</v>
      </c>
      <c r="AA37" s="409" t="str">
        <v>-</v>
      </c>
      <c r="AB37" s="435" t="str">
        <v>LC-130</v>
      </c>
      <c r="AC37" s="409">
        <v>45245</v>
      </c>
      <c r="AD37" s="409" t="str">
        <v>Yes</v>
      </c>
      <c r="AE37" s="409" t="str">
        <v>FY24 inter</v>
      </c>
      <c r="AF37" s="409" t="str">
        <v>FY24 intra</v>
      </c>
      <c r="AG37" s="409" t="str">
        <v>D. Gibson</v>
      </c>
      <c r="AH37" s="409">
        <v>44477</v>
      </c>
      <c r="AI37" s="409" t="str">
        <v>I. McEwen</v>
      </c>
      <c r="AJ37" s="409">
        <v>44477</v>
      </c>
      <c r="AK37" s="409" t="str">
        <v>Required onsite in FW YR 2 to support controls system tasking</v>
      </c>
      <c r="AL37" s="9" t="str">
        <v/>
      </c>
    </row>
    <row r="38" spans="1:38" ht="33.950000000000003" hidden="1">
      <c r="A38" s="25">
        <v>1.2</v>
      </c>
      <c r="B38" s="48" t="str">
        <v>Drill</v>
      </c>
      <c r="C38" s="3" t="str">
        <v>Driller resupply/refit components -  8'  Container</v>
      </c>
      <c r="D38" s="3"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35">
        <v>31</v>
      </c>
      <c r="P38" s="443">
        <v>45108</v>
      </c>
      <c r="Q38" s="429" t="str">
        <v>UWM - PTH</v>
      </c>
      <c r="R38" s="428">
        <v>45139</v>
      </c>
      <c r="S38" s="430" t="str">
        <v>Truck</v>
      </c>
      <c r="T38" s="431" t="str">
        <v>PTH - CHC</v>
      </c>
      <c r="U38" s="431" t="str">
        <v>-</v>
      </c>
      <c r="V38" s="432" t="str">
        <v>ComSur</v>
      </c>
      <c r="W38" s="433" t="str">
        <v>CHC-MCM</v>
      </c>
      <c r="X38" s="433" t="str">
        <v>-</v>
      </c>
      <c r="Y38" s="435" t="str">
        <v>USAP Air</v>
      </c>
      <c r="Z38" s="434">
        <v>45231</v>
      </c>
      <c r="AA38" s="409" t="str">
        <v>-</v>
      </c>
      <c r="AB38" s="435" t="str">
        <v>LC-130</v>
      </c>
      <c r="AC38" s="409">
        <v>45245</v>
      </c>
      <c r="AD38" s="409" t="str">
        <v>Yes</v>
      </c>
      <c r="AE38" s="409" t="str">
        <v>FY24 inter</v>
      </c>
      <c r="AF38" s="409" t="str">
        <v>FY24 intra</v>
      </c>
      <c r="AG38" s="409" t="str">
        <v>D. Gibson</v>
      </c>
      <c r="AH38" s="409">
        <v>44477</v>
      </c>
      <c r="AI38" s="409" t="str">
        <v>I. McEwen</v>
      </c>
      <c r="AJ38" s="409">
        <v>44477</v>
      </c>
      <c r="AK38" s="409" t="str">
        <v>Items identifed in prior field season - 8' container moves with contents overland or by air</v>
      </c>
      <c r="AL38" s="9" t="str">
        <v/>
      </c>
    </row>
    <row r="39" spans="1:38" ht="17.100000000000001" hidden="1">
      <c r="A39" s="25">
        <v>1.2</v>
      </c>
      <c r="B39" s="48" t="str">
        <v>Drill</v>
      </c>
      <c r="C39" s="3" t="str">
        <v>Drill refit components</v>
      </c>
      <c r="D39" s="3"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35">
        <v>31</v>
      </c>
      <c r="P39" s="428">
        <v>45108</v>
      </c>
      <c r="Q39" s="429" t="str">
        <v>UWM - PTH</v>
      </c>
      <c r="R39" s="428">
        <v>45139</v>
      </c>
      <c r="S39" s="431" t="str">
        <v>Truck</v>
      </c>
      <c r="T39" s="431" t="str">
        <v>PTH - CHC</v>
      </c>
      <c r="U39" s="431" t="str">
        <v>-</v>
      </c>
      <c r="V39" s="433" t="str">
        <v>Comsur</v>
      </c>
      <c r="W39" s="433" t="str">
        <v>CHC-MCM</v>
      </c>
      <c r="X39" s="433" t="str">
        <v>-</v>
      </c>
      <c r="Y39" s="435" t="str">
        <v>USAP Air</v>
      </c>
      <c r="Z39" s="434">
        <v>45231</v>
      </c>
      <c r="AA39" s="427" t="str">
        <v>-</v>
      </c>
      <c r="AB39" s="435" t="str">
        <v>LC-130</v>
      </c>
      <c r="AC39" s="409">
        <v>45245</v>
      </c>
      <c r="AD39" s="409" t="str">
        <v>Yes</v>
      </c>
      <c r="AE39" s="409" t="str">
        <v>FY24 inter</v>
      </c>
      <c r="AF39" s="409" t="str">
        <v>FY24 intra</v>
      </c>
      <c r="AG39" s="409" t="str">
        <v>D. Gibson</v>
      </c>
      <c r="AH39" s="409">
        <v>44477</v>
      </c>
      <c r="AI39" s="409" t="str">
        <v>I. McEwen</v>
      </c>
      <c r="AJ39" s="409">
        <v>44477</v>
      </c>
      <c r="AK39" s="409" t="str">
        <v>Items identifed in prior field season</v>
      </c>
      <c r="AL39" s="9" t="str">
        <v/>
      </c>
    </row>
    <row r="40" spans="1:38" ht="23.25" hidden="1" customHeight="1">
      <c r="A40" s="25">
        <v>1.2</v>
      </c>
      <c r="B40" s="48" t="str">
        <v>Drill</v>
      </c>
      <c r="C40" s="18" t="str">
        <v>Drill Heads DNF - X</v>
      </c>
      <c r="D40" s="41"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35">
        <v>440</v>
      </c>
      <c r="P40" s="428">
        <v>44440</v>
      </c>
      <c r="Q40" s="429" t="str">
        <v>UWM - PTH</v>
      </c>
      <c r="R40" s="428">
        <v>44880</v>
      </c>
      <c r="S40" s="431" t="str">
        <v>Truck</v>
      </c>
      <c r="T40" s="431" t="str">
        <v>PTH - MCM</v>
      </c>
      <c r="U40" s="431" t="str">
        <v>-</v>
      </c>
      <c r="V40" s="433" t="str">
        <v>USAP Vessel</v>
      </c>
      <c r="W40" s="433" t="str">
        <v>USAP Vessel</v>
      </c>
      <c r="X40" s="433" t="str">
        <v>-</v>
      </c>
      <c r="Y40" s="426" t="str">
        <v>-</v>
      </c>
      <c r="Z40" s="434">
        <v>44963</v>
      </c>
      <c r="AA40" s="427" t="str">
        <v>-</v>
      </c>
      <c r="AB40" s="435" t="str">
        <v>LC-130</v>
      </c>
      <c r="AC40" s="409">
        <v>44969</v>
      </c>
      <c r="AD40" s="409" t="str">
        <v>Yes</v>
      </c>
      <c r="AE40" s="409" t="str">
        <v>FY23 inter</v>
      </c>
      <c r="AF40" s="409" t="str">
        <v>FY23 intra</v>
      </c>
      <c r="AG40" s="409" t="str">
        <v>D. Gibson</v>
      </c>
      <c r="AH40" s="409">
        <v>44477</v>
      </c>
      <c r="AI40" s="409" t="str">
        <v>I. McEwen</v>
      </c>
      <c r="AJ40" s="409">
        <v>44477</v>
      </c>
      <c r="AK40" s="409" t="str">
        <v>One drill head shipped one year early for ull system wet-test</v>
      </c>
      <c r="AL40" s="9" t="str">
        <v/>
      </c>
    </row>
    <row r="41" spans="1:38" ht="23.25" hidden="1" customHeight="1">
      <c r="A41" s="25">
        <v>1.2</v>
      </c>
      <c r="B41" s="48" t="str">
        <v>Drill</v>
      </c>
      <c r="C41" s="18" t="str">
        <v>Drill Heads DNF - Y</v>
      </c>
      <c r="D41" s="41"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35">
        <v>805</v>
      </c>
      <c r="P41" s="428">
        <v>44440</v>
      </c>
      <c r="Q41" s="429" t="str">
        <v>UWM - PTH</v>
      </c>
      <c r="R41" s="428">
        <v>45245</v>
      </c>
      <c r="S41" s="431" t="str">
        <v>Truck</v>
      </c>
      <c r="T41" s="431" t="str">
        <v>PTH - MCM</v>
      </c>
      <c r="U41" s="431" t="str">
        <v>-</v>
      </c>
      <c r="V41" s="433" t="str">
        <v>USAP Vessel</v>
      </c>
      <c r="W41" s="433" t="str">
        <v>USAP Vessel</v>
      </c>
      <c r="X41" s="433" t="str">
        <v>-</v>
      </c>
      <c r="Y41" s="426" t="str">
        <v>-</v>
      </c>
      <c r="Z41" s="434">
        <v>45328</v>
      </c>
      <c r="AA41" s="427" t="str">
        <v>-</v>
      </c>
      <c r="AB41" s="435" t="str">
        <v>LC-130</v>
      </c>
      <c r="AC41" s="409">
        <v>45334</v>
      </c>
      <c r="AD41" s="409" t="str">
        <v>Yes</v>
      </c>
      <c r="AE41" s="409" t="str">
        <v>FY24 inter</v>
      </c>
      <c r="AF41" s="409" t="str">
        <v>FY24 intra</v>
      </c>
      <c r="AG41" s="409" t="str">
        <v>D. Gibson</v>
      </c>
      <c r="AH41" s="409">
        <v>44477</v>
      </c>
      <c r="AI41" s="409" t="str">
        <v>I. McEwen</v>
      </c>
      <c r="AJ41" s="409">
        <v>44477</v>
      </c>
      <c r="AK41" s="409" t="str">
        <v/>
      </c>
      <c r="AL41" s="9" t="str">
        <v/>
      </c>
    </row>
    <row r="42" spans="1:38" ht="22.5" hidden="1" customHeight="1">
      <c r="A42" s="25">
        <v>1.2</v>
      </c>
      <c r="B42" s="48" t="str">
        <v>Drill</v>
      </c>
      <c r="C42" s="18" t="str">
        <v>Drill Heads DNF - R</v>
      </c>
      <c r="D42" s="41"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35">
        <v>805</v>
      </c>
      <c r="P42" s="428">
        <v>44440</v>
      </c>
      <c r="Q42" s="429" t="str">
        <v>UWM - PTH</v>
      </c>
      <c r="R42" s="428">
        <v>45245</v>
      </c>
      <c r="S42" s="431" t="str">
        <v>Truck</v>
      </c>
      <c r="T42" s="431" t="str">
        <v>PTH - MCM</v>
      </c>
      <c r="U42" s="431" t="str">
        <v>-</v>
      </c>
      <c r="V42" s="433" t="str">
        <v>USAP Vessel</v>
      </c>
      <c r="W42" s="433" t="str">
        <v>USAP Vessel</v>
      </c>
      <c r="X42" s="433" t="str">
        <v>-</v>
      </c>
      <c r="Y42" s="426" t="str">
        <v>-</v>
      </c>
      <c r="Z42" s="434">
        <v>45328</v>
      </c>
      <c r="AA42" s="427" t="str">
        <v>-</v>
      </c>
      <c r="AB42" s="435" t="str">
        <v>LC-130</v>
      </c>
      <c r="AC42" s="409">
        <v>45334</v>
      </c>
      <c r="AD42" s="409" t="str">
        <v>Yes</v>
      </c>
      <c r="AE42" s="409" t="str">
        <v>FY24 inter</v>
      </c>
      <c r="AF42" s="409" t="str">
        <v>FY24 intra</v>
      </c>
      <c r="AG42" s="409" t="str">
        <v>D. Gibson</v>
      </c>
      <c r="AH42" s="409">
        <v>44477</v>
      </c>
      <c r="AI42" s="409" t="str">
        <v>I. McEwen</v>
      </c>
      <c r="AJ42" s="409">
        <v>44477</v>
      </c>
      <c r="AK42" s="409" t="str">
        <v/>
      </c>
      <c r="AL42" s="9" t="str">
        <v/>
      </c>
    </row>
    <row r="43" spans="1:38" ht="34.5" hidden="1" customHeight="1">
      <c r="A43" s="25">
        <v>1.2</v>
      </c>
      <c r="B43" s="48" t="str">
        <v>Drill</v>
      </c>
      <c r="C43" s="3" t="str">
        <v>Computing/controls components</v>
      </c>
      <c r="D43" s="3" t="str">
        <v>Computing and controls equipment (Sensor, motor drives and other sensitive electronics) - Do Not Freeze</v>
      </c>
      <c r="E43" s="4">
        <v>96</v>
      </c>
      <c r="F43" s="4">
        <v>48</v>
      </c>
      <c r="G43" s="4">
        <v>48</v>
      </c>
      <c r="H43" s="23">
        <v>1</v>
      </c>
      <c r="I43" s="22">
        <v>128</v>
      </c>
      <c r="J43" s="22">
        <v>3000</v>
      </c>
      <c r="K43" s="4">
        <v>3000</v>
      </c>
      <c r="L43" s="23" t="str">
        <v>estimated</v>
      </c>
      <c r="M43" s="6" t="str">
        <v>DNF</v>
      </c>
      <c r="N43" s="427" t="str">
        <v xml:space="preserve"> U. Wisc. Madison</v>
      </c>
      <c r="O43" s="435">
        <v>31</v>
      </c>
      <c r="P43" s="443">
        <v>45474</v>
      </c>
      <c r="Q43" s="429" t="str">
        <v>UWM - PTH</v>
      </c>
      <c r="R43" s="428">
        <v>45505</v>
      </c>
      <c r="S43" s="430" t="str">
        <v>Truck</v>
      </c>
      <c r="T43" s="431" t="str">
        <v>PTH - CHC</v>
      </c>
      <c r="U43" s="431" t="str">
        <v>-</v>
      </c>
      <c r="V43" s="432" t="str">
        <v>ComSur</v>
      </c>
      <c r="W43" s="433" t="str">
        <v>CHC-MCM</v>
      </c>
      <c r="X43" s="433" t="str">
        <v>-</v>
      </c>
      <c r="Y43" s="435" t="str">
        <v>USAP Air</v>
      </c>
      <c r="Z43" s="434">
        <v>45597</v>
      </c>
      <c r="AA43" s="409" t="str">
        <v>-</v>
      </c>
      <c r="AB43" s="435" t="str">
        <v>LC-130</v>
      </c>
      <c r="AC43" s="409">
        <v>45611</v>
      </c>
      <c r="AD43" s="409" t="str">
        <v>Yes</v>
      </c>
      <c r="AE43" s="409" t="str">
        <v>FY25 inter</v>
      </c>
      <c r="AF43" s="409" t="str">
        <v>FY25 intra</v>
      </c>
      <c r="AG43" s="409" t="str">
        <v>D. Gibson</v>
      </c>
      <c r="AH43" s="409">
        <v>44477</v>
      </c>
      <c r="AI43" s="409" t="str">
        <v>I. McEwen</v>
      </c>
      <c r="AJ43" s="409">
        <v>44477</v>
      </c>
      <c r="AK43" s="409" t="str">
        <v/>
      </c>
      <c r="AL43" s="9" t="str">
        <v/>
      </c>
    </row>
    <row r="44" spans="1:38" ht="21.75" hidden="1" customHeight="1">
      <c r="A44" s="67">
        <v>1.2</v>
      </c>
      <c r="B44" s="68" t="str">
        <v>Installation</v>
      </c>
      <c r="C44" s="19" t="str">
        <v xml:space="preserve">Installation Hardware  87-93 </v>
      </c>
      <c r="D44" s="19"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35">
        <v>123</v>
      </c>
      <c r="P44" s="443">
        <v>45122</v>
      </c>
      <c r="Q44" s="429" t="str">
        <v>UWM - PTH</v>
      </c>
      <c r="R44" s="428">
        <v>45245</v>
      </c>
      <c r="S44" s="430" t="str">
        <v>Truck</v>
      </c>
      <c r="T44" s="431" t="str">
        <v>PTH - MCM</v>
      </c>
      <c r="U44" s="431" t="str">
        <v>-</v>
      </c>
      <c r="V44" s="433" t="str">
        <v>USAP Vessel</v>
      </c>
      <c r="W44" s="433" t="str">
        <v>USAP Vessel</v>
      </c>
      <c r="X44" s="433" t="str">
        <v>-</v>
      </c>
      <c r="Y44" s="426" t="str">
        <v>-</v>
      </c>
      <c r="Z44" s="434">
        <v>45328</v>
      </c>
      <c r="AA44" s="427" t="str">
        <v>-</v>
      </c>
      <c r="AB44" s="435" t="str">
        <v>LC-130</v>
      </c>
      <c r="AC44" s="409">
        <v>45337</v>
      </c>
      <c r="AD44" s="409" t="str">
        <v>Yes</v>
      </c>
      <c r="AE44" s="409" t="str">
        <v>FY24 inter</v>
      </c>
      <c r="AF44" s="409" t="str">
        <v>FY24 intra</v>
      </c>
      <c r="AG44" s="409" t="str">
        <v>D. Tosi</v>
      </c>
      <c r="AH44" s="409">
        <v>44461</v>
      </c>
      <c r="AI44" s="409" t="str">
        <v>I. McEwen</v>
      </c>
      <c r="AJ44" s="409">
        <v>44461</v>
      </c>
      <c r="AK44" s="409" t="str">
        <v/>
      </c>
      <c r="AL44" s="9" t="str">
        <v/>
      </c>
    </row>
    <row r="45" spans="1:38" ht="32.450000000000003" hidden="1"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35">
        <v>123</v>
      </c>
      <c r="P45" s="443">
        <v>45122</v>
      </c>
      <c r="Q45" s="429" t="str">
        <v>UWM - PTH</v>
      </c>
      <c r="R45" s="428">
        <v>45245</v>
      </c>
      <c r="S45" s="430" t="str">
        <v>Truck</v>
      </c>
      <c r="T45" s="431" t="str">
        <v>PTH - MCM</v>
      </c>
      <c r="U45" s="431" t="str">
        <v>-</v>
      </c>
      <c r="V45" s="433" t="str">
        <v>USAP Vessel</v>
      </c>
      <c r="W45" s="433" t="str">
        <v>USAP Vessel</v>
      </c>
      <c r="X45" s="433" t="str">
        <v>-</v>
      </c>
      <c r="Y45" s="426" t="str">
        <v>-</v>
      </c>
      <c r="Z45" s="434">
        <v>45328</v>
      </c>
      <c r="AA45" s="427" t="str">
        <v>-</v>
      </c>
      <c r="AB45" s="435" t="str">
        <v>LC-130</v>
      </c>
      <c r="AC45" s="409">
        <v>45337</v>
      </c>
      <c r="AD45" s="409" t="str">
        <v>Yes</v>
      </c>
      <c r="AE45" s="409" t="str">
        <v>FY24 inter</v>
      </c>
      <c r="AF45" s="409" t="str">
        <v>FY24 intra</v>
      </c>
      <c r="AG45" s="409" t="str">
        <v>D. Tosi</v>
      </c>
      <c r="AH45" s="409">
        <v>44461</v>
      </c>
      <c r="AI45" s="409" t="str">
        <v>I. McEwen</v>
      </c>
      <c r="AJ45" s="409">
        <v>44461</v>
      </c>
      <c r="AK45" s="409" t="str">
        <v/>
      </c>
      <c r="AL45" s="9" t="str">
        <v/>
      </c>
    </row>
    <row r="46" spans="1:38" ht="33.950000000000003" hidden="1">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35">
        <v>244</v>
      </c>
      <c r="P46" s="443">
        <v>44895</v>
      </c>
      <c r="Q46" s="429" t="str">
        <v>UWM - PTH</v>
      </c>
      <c r="R46" s="428">
        <v>45139</v>
      </c>
      <c r="S46" s="430" t="str">
        <v>Truck</v>
      </c>
      <c r="T46" s="431" t="str">
        <v>PTH - CHC</v>
      </c>
      <c r="U46" s="431" t="str">
        <v>-</v>
      </c>
      <c r="V46" s="433" t="str">
        <v>ComSur</v>
      </c>
      <c r="W46" s="433" t="str">
        <v>CHC-MCM</v>
      </c>
      <c r="X46" s="433" t="str">
        <v>-</v>
      </c>
      <c r="Y46" s="435" t="str">
        <v>USAP Air</v>
      </c>
      <c r="Z46" s="434">
        <v>45231</v>
      </c>
      <c r="AA46" s="409" t="str">
        <v>-</v>
      </c>
      <c r="AB46" s="435" t="str">
        <v>LC-130</v>
      </c>
      <c r="AC46" s="409">
        <v>45275</v>
      </c>
      <c r="AD46" s="409" t="str">
        <v>Yes</v>
      </c>
      <c r="AE46" s="409" t="str">
        <v>FY24 inter</v>
      </c>
      <c r="AF46" s="409" t="str">
        <v>FY24 intra</v>
      </c>
      <c r="AG46" s="409" t="str">
        <v>D. Williams</v>
      </c>
      <c r="AH46" s="409">
        <v>44482</v>
      </c>
      <c r="AI46" s="409" t="str">
        <v>D. Tosi</v>
      </c>
      <c r="AJ46" s="409">
        <v>44482</v>
      </c>
      <c r="AK46" s="409" t="str">
        <v/>
      </c>
      <c r="AL46" s="9" t="str">
        <v/>
      </c>
    </row>
    <row r="47" spans="1:38" ht="68.099999999999994" hidden="1">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35">
        <v>212</v>
      </c>
      <c r="P47" s="443">
        <v>44927</v>
      </c>
      <c r="Q47" s="429" t="str">
        <v>UWM - PTH</v>
      </c>
      <c r="R47" s="428">
        <v>45139</v>
      </c>
      <c r="S47" s="430" t="str">
        <v>Truck</v>
      </c>
      <c r="T47" s="431" t="str">
        <v>PTH - CHC</v>
      </c>
      <c r="U47" s="431" t="str">
        <v>-</v>
      </c>
      <c r="V47" s="433" t="str">
        <v>ComSur</v>
      </c>
      <c r="W47" s="433" t="str">
        <v>CHC-MCM</v>
      </c>
      <c r="X47" s="433" t="str">
        <v>-</v>
      </c>
      <c r="Y47" s="435" t="str">
        <v>USAP Air</v>
      </c>
      <c r="Z47" s="434">
        <v>45231</v>
      </c>
      <c r="AA47" s="427" t="str">
        <v>-</v>
      </c>
      <c r="AB47" s="435" t="str">
        <v>LC-130</v>
      </c>
      <c r="AC47" s="409">
        <v>45275</v>
      </c>
      <c r="AD47" s="409" t="str">
        <v>Yes</v>
      </c>
      <c r="AE47" s="409" t="str">
        <v>FY24 inter</v>
      </c>
      <c r="AF47" s="409" t="str">
        <v>FY24 intra</v>
      </c>
      <c r="AG47" s="409" t="str">
        <v>S. Boeser</v>
      </c>
      <c r="AH47" s="409">
        <v>44482</v>
      </c>
      <c r="AI47" s="409" t="str">
        <v>D. Tosi</v>
      </c>
      <c r="AJ47" s="409">
        <v>44482</v>
      </c>
      <c r="AK47" s="409" t="str">
        <v>4+1 Radio Pulser, weight  50 kg. 1+1 Radio receiver, assume mDOM weight, 3+1 FOM (assume mDOM weight) + 2ftx2ftx4ft FOM box (50 lbs).  Special Devices from UW. FTS, seismometer missing from estimate.  250 lbs crate estimate</v>
      </c>
      <c r="AL47" s="9" t="str">
        <v/>
      </c>
    </row>
    <row r="48" spans="1:38" ht="30" hidden="1"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35">
        <v>61</v>
      </c>
      <c r="P48" s="428">
        <v>45078</v>
      </c>
      <c r="Q48" s="429" t="str">
        <v>UWM - PTH</v>
      </c>
      <c r="R48" s="428">
        <v>45139</v>
      </c>
      <c r="S48" s="430" t="str">
        <v>Truck</v>
      </c>
      <c r="T48" s="431" t="str">
        <v>PTH - CHC</v>
      </c>
      <c r="U48" s="431" t="str">
        <v>-</v>
      </c>
      <c r="V48" s="433" t="str">
        <v>ComSur</v>
      </c>
      <c r="W48" s="433" t="str">
        <v>CHC-MCM</v>
      </c>
      <c r="X48" s="433" t="str">
        <v>-</v>
      </c>
      <c r="Y48" s="435" t="str">
        <v>USAP Air</v>
      </c>
      <c r="Z48" s="434">
        <v>45231</v>
      </c>
      <c r="AA48" s="427" t="str">
        <v>-</v>
      </c>
      <c r="AB48" s="435" t="str">
        <v>LC-130</v>
      </c>
      <c r="AC48" s="409">
        <v>45261</v>
      </c>
      <c r="AD48" s="409" t="str">
        <v>Yes</v>
      </c>
      <c r="AE48" s="409" t="str">
        <v>FY24 inter</v>
      </c>
      <c r="AF48" s="409" t="str">
        <v>FY24 intra</v>
      </c>
      <c r="AG48" s="409" t="str">
        <v>T. Karg</v>
      </c>
      <c r="AH48" s="409">
        <v>44477</v>
      </c>
      <c r="AI48" s="409" t="str">
        <v>D. Tosi</v>
      </c>
      <c r="AJ48" s="409">
        <v>44477</v>
      </c>
      <c r="AK48" s="409" t="str">
        <v/>
      </c>
      <c r="AL48" s="9" t="str">
        <v/>
      </c>
    </row>
    <row r="49" spans="1:40" ht="32.450000000000003" hidden="1" customHeight="1">
      <c r="A49" s="25">
        <v>1.3</v>
      </c>
      <c r="B49" s="48" t="str">
        <v>Installation</v>
      </c>
      <c r="C49" s="71" t="str">
        <v>Special Devices 89-93</v>
      </c>
      <c r="D49" s="3" t="str">
        <v>Special devices for 5 remaining strings from UW (4+1 FOM,2+1 Radio Receivers, 11+1 LOM + seismometer*) - Do Not Deep Freeze</v>
      </c>
      <c r="E49" s="23">
        <v>81</v>
      </c>
      <c r="F49" s="23">
        <v>56</v>
      </c>
      <c r="G49" s="23">
        <v>51</v>
      </c>
      <c r="H49" s="23">
        <v>1</v>
      </c>
      <c r="I49" s="22">
        <v>133.875</v>
      </c>
      <c r="J49" s="22">
        <v>1797</v>
      </c>
      <c r="K49" s="4">
        <v>1797</v>
      </c>
      <c r="L49" s="445" t="str">
        <v>estimated</v>
      </c>
      <c r="M49" s="6" t="str">
        <v>DNDF [-40C]</v>
      </c>
      <c r="N49" s="10" t="str">
        <v>UWM/Kansas</v>
      </c>
      <c r="O49" s="435">
        <v>213</v>
      </c>
      <c r="P49" s="443">
        <v>45292</v>
      </c>
      <c r="Q49" s="429" t="str">
        <v>UWM - PTH</v>
      </c>
      <c r="R49" s="428">
        <v>45505</v>
      </c>
      <c r="S49" s="430" t="str">
        <v>Truck</v>
      </c>
      <c r="T49" s="431" t="str">
        <v>PTH - CHC</v>
      </c>
      <c r="U49" s="431" t="str">
        <v>-</v>
      </c>
      <c r="V49" s="433" t="str">
        <v>ComAir</v>
      </c>
      <c r="W49" s="433" t="str">
        <v>CHC-MCM</v>
      </c>
      <c r="X49" s="433" t="str">
        <v>-</v>
      </c>
      <c r="Y49" s="435" t="str">
        <v>USAP Air</v>
      </c>
      <c r="Z49" s="434">
        <v>45597</v>
      </c>
      <c r="AA49" s="427" t="str">
        <v>-</v>
      </c>
      <c r="AB49" s="435" t="str">
        <v>LC-130</v>
      </c>
      <c r="AC49" s="409">
        <v>45621</v>
      </c>
      <c r="AD49" s="409" t="str">
        <v>Yes</v>
      </c>
      <c r="AE49" s="409" t="str">
        <v>FY25 inter</v>
      </c>
      <c r="AF49" s="409" t="str">
        <v>FY25 intra</v>
      </c>
      <c r="AG49" s="409" t="str">
        <v>S. Boeser</v>
      </c>
      <c r="AH49" s="409">
        <v>44482</v>
      </c>
      <c r="AI49" s="409" t="str">
        <v>D. Tosi</v>
      </c>
      <c r="AJ49" s="409">
        <v>44482</v>
      </c>
      <c r="AK49" s="409" t="str">
        <v xml:space="preserve">21 Special Devices from USA (11+ 1 LOM, 4+1 FOM, 2+1 RR, FTS ? , seismometer), assume mDOM weight. 200 lbs wood crate. FTS not included. (*) Seismometer not yet in CMD </v>
      </c>
      <c r="AL49" s="9" t="str">
        <v/>
      </c>
    </row>
    <row r="50" spans="1:40" ht="32.450000000000003" hidden="1" customHeight="1">
      <c r="A50" s="25">
        <v>1.5</v>
      </c>
      <c r="B50" s="48" t="str">
        <v>Installation</v>
      </c>
      <c r="C50" s="3" t="str">
        <v>Calibration/Special Devices  89-93</v>
      </c>
      <c r="D50" s="3" t="str">
        <v>8+1 PencilBeams, 12+1 pDOMs from UW - Do Not Deep Freeze</v>
      </c>
      <c r="E50" s="23">
        <v>75</v>
      </c>
      <c r="F50" s="23">
        <v>56.5</v>
      </c>
      <c r="G50" s="445">
        <v>41</v>
      </c>
      <c r="H50" s="23">
        <v>1</v>
      </c>
      <c r="I50" s="22">
        <v>100.54253472222223</v>
      </c>
      <c r="J50" s="22">
        <v>1602</v>
      </c>
      <c r="K50" s="4">
        <v>1602</v>
      </c>
      <c r="L50" s="23" t="str">
        <v>preliminary</v>
      </c>
      <c r="M50" s="6" t="str">
        <v>DNDF [-40C]</v>
      </c>
      <c r="N50" s="427" t="str">
        <v xml:space="preserve"> U. Wisc. Madison</v>
      </c>
      <c r="O50" s="435">
        <v>352</v>
      </c>
      <c r="P50" s="428">
        <v>45153</v>
      </c>
      <c r="Q50" s="429" t="str">
        <v>UWM - PTH</v>
      </c>
      <c r="R50" s="428">
        <v>45505</v>
      </c>
      <c r="S50" s="430" t="str">
        <v>Truck</v>
      </c>
      <c r="T50" s="431" t="str">
        <v>PTH - CHC</v>
      </c>
      <c r="U50" s="431" t="str">
        <v>-</v>
      </c>
      <c r="V50" s="433" t="str">
        <v>ComSur</v>
      </c>
      <c r="W50" s="433" t="str">
        <v>CHC-MCM</v>
      </c>
      <c r="X50" s="433" t="str">
        <v>-</v>
      </c>
      <c r="Y50" s="435" t="str">
        <v>USAP Air</v>
      </c>
      <c r="Z50" s="434">
        <v>45597</v>
      </c>
      <c r="AA50" s="427" t="str">
        <v>-</v>
      </c>
      <c r="AB50" s="435" t="str">
        <v>LC-130</v>
      </c>
      <c r="AC50" s="409">
        <v>45621</v>
      </c>
      <c r="AD50" s="409" t="str">
        <v>Yes</v>
      </c>
      <c r="AE50" s="409" t="str">
        <v>FY25 inter</v>
      </c>
      <c r="AF50" s="409" t="str">
        <v>FY25 intra</v>
      </c>
      <c r="AG50" s="409" t="str">
        <v>D. Williams</v>
      </c>
      <c r="AH50" s="409">
        <v>44482</v>
      </c>
      <c r="AI50" s="409" t="str">
        <v>D. Tosi</v>
      </c>
      <c r="AJ50" s="409">
        <v>44474</v>
      </c>
      <c r="AK50" s="409" t="str">
        <v xml:space="preserve">8+1 PencilBeams for strings 89-93, 12+1 pDOMs, assume mDOM weight. 244 lbs crate. </v>
      </c>
      <c r="AL50" s="9" t="str">
        <v/>
      </c>
    </row>
    <row r="51" spans="1:40" ht="27" hidden="1" customHeight="1">
      <c r="A51" s="37">
        <v>1.2</v>
      </c>
      <c r="B51" s="70" t="str">
        <v>Installation</v>
      </c>
      <c r="C51" s="1" t="str">
        <v>Misc. Science Equipment - FY25</v>
      </c>
      <c r="D51" s="1" t="str">
        <v>Scientific and test equipment  (Handheld test devices, Paros, et al.) - Do Not Freeze</v>
      </c>
      <c r="E51" s="38">
        <v>48</v>
      </c>
      <c r="F51" s="38">
        <v>48</v>
      </c>
      <c r="G51" s="38">
        <v>48</v>
      </c>
      <c r="H51" s="23">
        <v>1</v>
      </c>
      <c r="I51" s="22">
        <v>64</v>
      </c>
      <c r="J51" s="22">
        <v>1500</v>
      </c>
      <c r="K51" s="4">
        <v>1500</v>
      </c>
      <c r="L51" s="449" t="str">
        <v>estimated</v>
      </c>
      <c r="M51" s="439" t="str">
        <v>DNF</v>
      </c>
      <c r="N51" s="427" t="str">
        <v xml:space="preserve"> U. Wisc. Madison</v>
      </c>
      <c r="O51" s="435">
        <v>61</v>
      </c>
      <c r="P51" s="428">
        <v>45444</v>
      </c>
      <c r="Q51" s="429" t="str">
        <v>UWM - PTH</v>
      </c>
      <c r="R51" s="428">
        <v>45505</v>
      </c>
      <c r="S51" s="430" t="str">
        <v>Truck</v>
      </c>
      <c r="T51" s="431" t="str">
        <v>PTH - CHC</v>
      </c>
      <c r="U51" s="431" t="str">
        <v>-</v>
      </c>
      <c r="V51" s="433" t="str">
        <v>ComSur</v>
      </c>
      <c r="W51" s="433" t="str">
        <v>CHC-MCM</v>
      </c>
      <c r="X51" s="433" t="str">
        <v>-</v>
      </c>
      <c r="Y51" s="435" t="str">
        <v>USAP Air</v>
      </c>
      <c r="Z51" s="434">
        <v>45597</v>
      </c>
      <c r="AA51" s="427" t="str">
        <v>-</v>
      </c>
      <c r="AB51" s="435" t="str">
        <v>LC-130</v>
      </c>
      <c r="AC51" s="409">
        <v>45627</v>
      </c>
      <c r="AD51" s="409" t="str">
        <v>Yes</v>
      </c>
      <c r="AE51" s="409" t="str">
        <v>FY25 inter</v>
      </c>
      <c r="AF51" s="409" t="str">
        <v>FY25 intra</v>
      </c>
      <c r="AG51" s="409" t="str">
        <v>D. Tosi</v>
      </c>
      <c r="AH51" s="409">
        <v>44477</v>
      </c>
      <c r="AI51" s="409" t="str">
        <v>D. Tosi</v>
      </c>
      <c r="AJ51" s="409">
        <v>44477</v>
      </c>
      <c r="AK51" s="409" t="str">
        <v/>
      </c>
      <c r="AL51" s="9" t="str">
        <v/>
      </c>
    </row>
    <row r="52" spans="1:40" ht="33.950000000000003" hidden="1">
      <c r="A52" s="25">
        <v>1.5</v>
      </c>
      <c r="B52" s="48" t="str">
        <v>Installation</v>
      </c>
      <c r="C52" s="3" t="str">
        <v>Dust logging device</v>
      </c>
      <c r="D52" s="3" t="str">
        <v>Blue Logging device - sensitive equipment - Do Not Freeze</v>
      </c>
      <c r="E52" s="23">
        <v>48</v>
      </c>
      <c r="F52" s="23">
        <v>17</v>
      </c>
      <c r="G52" s="23">
        <v>17</v>
      </c>
      <c r="H52" s="23">
        <v>1</v>
      </c>
      <c r="I52" s="22">
        <v>8.0277777777777786</v>
      </c>
      <c r="J52" s="22">
        <v>60</v>
      </c>
      <c r="K52" s="4">
        <v>60</v>
      </c>
      <c r="L52" s="445" t="str">
        <v>actual</v>
      </c>
      <c r="M52" s="436" t="str">
        <v>DNF</v>
      </c>
      <c r="N52" s="427" t="str">
        <v xml:space="preserve"> U. Wisc. Madison</v>
      </c>
      <c r="O52" s="435">
        <v>61</v>
      </c>
      <c r="P52" s="443">
        <v>45444</v>
      </c>
      <c r="Q52" s="429" t="str">
        <v>UWM - PTH</v>
      </c>
      <c r="R52" s="428">
        <v>45505</v>
      </c>
      <c r="S52" s="430" t="str">
        <v>Truck</v>
      </c>
      <c r="T52" s="431" t="str">
        <v>PTH - CHC</v>
      </c>
      <c r="U52" s="431" t="str">
        <v>-</v>
      </c>
      <c r="V52" s="433" t="str">
        <v>ComAir</v>
      </c>
      <c r="W52" s="433" t="str">
        <v>CHC-MCM</v>
      </c>
      <c r="X52" s="433" t="str">
        <v>-</v>
      </c>
      <c r="Y52" s="435" t="str">
        <v>USAP Air</v>
      </c>
      <c r="Z52" s="434">
        <v>45597</v>
      </c>
      <c r="AA52" s="427" t="str">
        <v>-</v>
      </c>
      <c r="AB52" s="435" t="str">
        <v>LC-130</v>
      </c>
      <c r="AC52" s="409">
        <v>45621</v>
      </c>
      <c r="AD52" s="409" t="str">
        <v>Yes</v>
      </c>
      <c r="AE52" s="409" t="str">
        <v>FY25 inter</v>
      </c>
      <c r="AF52" s="409" t="str">
        <v>FY25 intra</v>
      </c>
      <c r="AG52" s="409" t="str">
        <v>D. Williams</v>
      </c>
      <c r="AH52" s="409">
        <v>44483</v>
      </c>
      <c r="AI52" s="409" t="str">
        <v>D. Tosi</v>
      </c>
      <c r="AJ52" s="409">
        <v>44457</v>
      </c>
      <c r="AK52" s="409" t="str">
        <v>Used weights from last deployment season shipment data (could be combined)</v>
      </c>
      <c r="AL52" s="9" t="str">
        <v/>
      </c>
    </row>
    <row r="53" spans="1:40" ht="33.950000000000003" hidden="1">
      <c r="A53" s="25">
        <v>1.5</v>
      </c>
      <c r="B53" s="48" t="str">
        <v>Installation</v>
      </c>
      <c r="C53" s="3" t="str">
        <v>Dust logging device</v>
      </c>
      <c r="D53" s="3" t="str">
        <v>Green Logging device - sensitive equipment - Do Not Freeze</v>
      </c>
      <c r="E53" s="23">
        <v>48</v>
      </c>
      <c r="F53" s="23">
        <v>17</v>
      </c>
      <c r="G53" s="23">
        <v>17</v>
      </c>
      <c r="H53" s="23">
        <v>1</v>
      </c>
      <c r="I53" s="22">
        <v>8.0277777777777786</v>
      </c>
      <c r="J53" s="22">
        <v>60</v>
      </c>
      <c r="K53" s="4">
        <v>60</v>
      </c>
      <c r="L53" s="445" t="str">
        <v>actual</v>
      </c>
      <c r="M53" s="436" t="str">
        <v>DNF</v>
      </c>
      <c r="N53" s="427" t="str">
        <v xml:space="preserve"> U. Wisc. Madison</v>
      </c>
      <c r="O53" s="435">
        <v>61</v>
      </c>
      <c r="P53" s="443">
        <v>45444</v>
      </c>
      <c r="Q53" s="429" t="str">
        <v>UWM - PTH</v>
      </c>
      <c r="R53" s="428">
        <v>45505</v>
      </c>
      <c r="S53" s="430" t="str">
        <v>Truck</v>
      </c>
      <c r="T53" s="431" t="str">
        <v>PTH - CHC</v>
      </c>
      <c r="U53" s="431" t="str">
        <v>-</v>
      </c>
      <c r="V53" s="433" t="str">
        <v>ComAir</v>
      </c>
      <c r="W53" s="433" t="str">
        <v>CHC-MCM</v>
      </c>
      <c r="X53" s="433" t="str">
        <v>-</v>
      </c>
      <c r="Y53" s="435" t="str">
        <v>USAP Air</v>
      </c>
      <c r="Z53" s="434">
        <v>45597</v>
      </c>
      <c r="AA53" s="427" t="str">
        <v>-</v>
      </c>
      <c r="AB53" s="435" t="str">
        <v>LC-130</v>
      </c>
      <c r="AC53" s="409">
        <v>45621</v>
      </c>
      <c r="AD53" s="409" t="str">
        <v>Yes</v>
      </c>
      <c r="AE53" s="409" t="str">
        <v>FY25 inter</v>
      </c>
      <c r="AF53" s="409" t="str">
        <v>FY25 intra</v>
      </c>
      <c r="AG53" s="409" t="str">
        <v>D. Williams</v>
      </c>
      <c r="AH53" s="409">
        <v>44483</v>
      </c>
      <c r="AI53" s="409" t="str">
        <v>D. Tosi</v>
      </c>
      <c r="AJ53" s="409">
        <v>44458</v>
      </c>
      <c r="AK53" s="409" t="str">
        <v>Used weights from last deployment season shipment data (could be combined)</v>
      </c>
      <c r="AL53" s="9" t="str">
        <v/>
      </c>
    </row>
    <row r="54" spans="1:40" ht="33.950000000000003" hidden="1">
      <c r="A54" s="25">
        <v>1.5</v>
      </c>
      <c r="B54" s="48" t="str">
        <v>Installation</v>
      </c>
      <c r="C54" s="3" t="str">
        <v>Dust logging device</v>
      </c>
      <c r="D54" s="3" t="str">
        <v>Electronics parts - sensitive equipment - Do Not Freeze</v>
      </c>
      <c r="E54" s="23">
        <v>26</v>
      </c>
      <c r="F54" s="23">
        <v>24</v>
      </c>
      <c r="G54" s="23">
        <v>24</v>
      </c>
      <c r="H54" s="23">
        <v>1</v>
      </c>
      <c r="I54" s="22">
        <v>8.6666666666666661</v>
      </c>
      <c r="J54" s="22">
        <v>120</v>
      </c>
      <c r="K54" s="4">
        <v>120</v>
      </c>
      <c r="L54" s="445" t="str">
        <v>actual</v>
      </c>
      <c r="M54" s="436" t="str">
        <v>DNF</v>
      </c>
      <c r="N54" s="427" t="str">
        <v xml:space="preserve"> U. Wisc. Madison</v>
      </c>
      <c r="O54" s="435">
        <v>61</v>
      </c>
      <c r="P54" s="443">
        <v>45444</v>
      </c>
      <c r="Q54" s="429" t="str">
        <v>UWM - PTH</v>
      </c>
      <c r="R54" s="428">
        <v>45505</v>
      </c>
      <c r="S54" s="430" t="str">
        <v>Truck</v>
      </c>
      <c r="T54" s="431" t="str">
        <v>PTH - CHC</v>
      </c>
      <c r="U54" s="431" t="str">
        <v>-</v>
      </c>
      <c r="V54" s="433" t="str">
        <v>ComAir</v>
      </c>
      <c r="W54" s="433" t="str">
        <v>CHC-MCM</v>
      </c>
      <c r="X54" s="433" t="str">
        <v>-</v>
      </c>
      <c r="Y54" s="435" t="str">
        <v>USAP Air</v>
      </c>
      <c r="Z54" s="434">
        <v>45597</v>
      </c>
      <c r="AA54" s="427" t="str">
        <v>-</v>
      </c>
      <c r="AB54" s="435" t="str">
        <v>LC-130</v>
      </c>
      <c r="AC54" s="409">
        <v>45621</v>
      </c>
      <c r="AD54" s="409" t="str">
        <v>Yes</v>
      </c>
      <c r="AE54" s="409" t="str">
        <v>FY25 inter</v>
      </c>
      <c r="AF54" s="409" t="str">
        <v>FY25 intra</v>
      </c>
      <c r="AG54" s="409" t="str">
        <v>D. Williams</v>
      </c>
      <c r="AH54" s="409">
        <v>44483</v>
      </c>
      <c r="AI54" s="409" t="str">
        <v>D. Tosi</v>
      </c>
      <c r="AJ54" s="409">
        <v>44459</v>
      </c>
      <c r="AK54" s="409" t="str">
        <v>Used weights from last deployment season shipment data (could be combined)</v>
      </c>
      <c r="AL54" s="9" t="str">
        <v/>
      </c>
    </row>
    <row r="55" spans="1:40" ht="33.950000000000003" hidden="1">
      <c r="A55" s="25">
        <v>1.5</v>
      </c>
      <c r="B55" s="48" t="str">
        <v>Installation</v>
      </c>
      <c r="C55" s="3" t="str">
        <v>Dust logging device</v>
      </c>
      <c r="D55" s="3" t="str">
        <v>Electronics parts - sensitive equipment - Do Not Freeze</v>
      </c>
      <c r="E55" s="23">
        <v>26</v>
      </c>
      <c r="F55" s="23">
        <v>23</v>
      </c>
      <c r="G55" s="23">
        <v>20</v>
      </c>
      <c r="H55" s="23">
        <v>1</v>
      </c>
      <c r="I55" s="22">
        <v>6.9212962962962967</v>
      </c>
      <c r="J55" s="22">
        <v>60</v>
      </c>
      <c r="K55" s="4">
        <v>60</v>
      </c>
      <c r="L55" s="445" t="str">
        <v>actual</v>
      </c>
      <c r="M55" s="436" t="str">
        <v>DNF</v>
      </c>
      <c r="N55" s="427" t="str">
        <v xml:space="preserve"> U. Wisc. Madison</v>
      </c>
      <c r="O55" s="435">
        <v>61</v>
      </c>
      <c r="P55" s="443">
        <v>45444</v>
      </c>
      <c r="Q55" s="429" t="str">
        <v>UWM - PTH</v>
      </c>
      <c r="R55" s="428">
        <v>45505</v>
      </c>
      <c r="S55" s="430" t="str">
        <v>Truck</v>
      </c>
      <c r="T55" s="431" t="str">
        <v>PTH - CHC</v>
      </c>
      <c r="U55" s="431" t="str">
        <v>-</v>
      </c>
      <c r="V55" s="433" t="str">
        <v>ComAir</v>
      </c>
      <c r="W55" s="433" t="str">
        <v>CHC-MCM</v>
      </c>
      <c r="X55" s="433" t="str">
        <v>-</v>
      </c>
      <c r="Y55" s="435" t="str">
        <v>USAP Air</v>
      </c>
      <c r="Z55" s="434">
        <v>45597</v>
      </c>
      <c r="AA55" s="427" t="str">
        <v>-</v>
      </c>
      <c r="AB55" s="435" t="str">
        <v>LC-130</v>
      </c>
      <c r="AC55" s="409">
        <v>45621</v>
      </c>
      <c r="AD55" s="409" t="str">
        <v>Yes</v>
      </c>
      <c r="AE55" s="409" t="str">
        <v>FY25 inter</v>
      </c>
      <c r="AF55" s="409" t="str">
        <v>FY25 intra</v>
      </c>
      <c r="AG55" s="409" t="str">
        <v>D. Williams</v>
      </c>
      <c r="AH55" s="409">
        <v>44483</v>
      </c>
      <c r="AI55" s="409" t="str">
        <v>D. Tosi</v>
      </c>
      <c r="AJ55" s="409">
        <v>44460</v>
      </c>
      <c r="AK55" s="409" t="str">
        <v>Used weights from last deployment season shipment data (could be combined)</v>
      </c>
      <c r="AL55" s="9" t="str">
        <v/>
      </c>
    </row>
    <row r="56" spans="1:40" ht="33.950000000000003" hidden="1">
      <c r="A56" s="25">
        <v>1.5</v>
      </c>
      <c r="B56" s="48" t="str">
        <v>Installation</v>
      </c>
      <c r="C56" s="3" t="str">
        <v>Logging winch</v>
      </c>
      <c r="D56" s="3" t="str">
        <v xml:space="preserve">Winch to be used for Dust Logging </v>
      </c>
      <c r="E56" s="23">
        <v>86</v>
      </c>
      <c r="F56" s="23">
        <v>60</v>
      </c>
      <c r="G56" s="23">
        <v>68</v>
      </c>
      <c r="H56" s="23">
        <v>1</v>
      </c>
      <c r="I56" s="22">
        <v>203.05555555555554</v>
      </c>
      <c r="J56" s="22">
        <v>3500</v>
      </c>
      <c r="K56" s="4">
        <v>3500</v>
      </c>
      <c r="L56" s="445" t="str">
        <v>preliminary</v>
      </c>
      <c r="M56" s="436" t="str">
        <v/>
      </c>
      <c r="N56" s="427" t="str">
        <v xml:space="preserve"> U. Wisc. Madison</v>
      </c>
      <c r="O56" s="435">
        <v>61</v>
      </c>
      <c r="P56" s="443">
        <v>45444</v>
      </c>
      <c r="Q56" s="429" t="str">
        <v>UWM - PTH</v>
      </c>
      <c r="R56" s="428">
        <v>45505</v>
      </c>
      <c r="S56" s="430" t="str">
        <v>Truck</v>
      </c>
      <c r="T56" s="431" t="str">
        <v>PTH - CHC</v>
      </c>
      <c r="U56" s="431" t="str">
        <v>-</v>
      </c>
      <c r="V56" s="433" t="str">
        <v>ComAir</v>
      </c>
      <c r="W56" s="433" t="str">
        <v>CHC-MCM</v>
      </c>
      <c r="X56" s="433" t="str">
        <v>-</v>
      </c>
      <c r="Y56" s="435" t="str">
        <v>USAP Air</v>
      </c>
      <c r="Z56" s="434">
        <v>45597</v>
      </c>
      <c r="AA56" s="427" t="str">
        <v>-</v>
      </c>
      <c r="AB56" s="435" t="str">
        <v>LC-130</v>
      </c>
      <c r="AC56" s="409">
        <v>45621</v>
      </c>
      <c r="AD56" s="409" t="str">
        <v>Yes</v>
      </c>
      <c r="AE56" s="409" t="str">
        <v>FY25 inter</v>
      </c>
      <c r="AF56" s="409" t="str">
        <v>FY25 intra</v>
      </c>
      <c r="AG56" s="409" t="str">
        <v>D. Tosi</v>
      </c>
      <c r="AH56" s="409">
        <v>44477</v>
      </c>
      <c r="AI56" s="409" t="str">
        <v>I. McEwen</v>
      </c>
      <c r="AJ56" s="409">
        <v>44477</v>
      </c>
      <c r="AK56" s="409" t="str">
        <v>Used weights and cubes of IDP deep logging winch. Send back end of season</v>
      </c>
      <c r="AL56" s="9" t="str">
        <v/>
      </c>
    </row>
    <row r="57" spans="1:40" ht="33.950000000000003" hidden="1">
      <c r="A57" s="25">
        <v>1.5</v>
      </c>
      <c r="B57" s="48" t="str">
        <v>Installation</v>
      </c>
      <c r="C57" s="3" t="str">
        <v>Logging winch control box</v>
      </c>
      <c r="D57" s="3" t="str">
        <v>Control Box for winch for Dust Logging  - sensitive equipment - Do Not Freeze</v>
      </c>
      <c r="E57" s="23">
        <v>48</v>
      </c>
      <c r="F57" s="23">
        <v>48</v>
      </c>
      <c r="G57" s="23">
        <v>36</v>
      </c>
      <c r="H57" s="23">
        <v>1</v>
      </c>
      <c r="I57" s="22">
        <v>48</v>
      </c>
      <c r="J57" s="22">
        <v>400</v>
      </c>
      <c r="K57" s="4">
        <v>400</v>
      </c>
      <c r="L57" s="445" t="str">
        <v>preliminary</v>
      </c>
      <c r="M57" s="436" t="str">
        <v>DNF</v>
      </c>
      <c r="N57" s="427" t="str">
        <v xml:space="preserve"> U. Wisc. Madison</v>
      </c>
      <c r="O57" s="435">
        <v>61</v>
      </c>
      <c r="P57" s="443">
        <v>45444</v>
      </c>
      <c r="Q57" s="429" t="str">
        <v>UWM - PTH</v>
      </c>
      <c r="R57" s="428">
        <v>45505</v>
      </c>
      <c r="S57" s="430" t="str">
        <v>Truck</v>
      </c>
      <c r="T57" s="431" t="str">
        <v>PTH - CHC</v>
      </c>
      <c r="U57" s="431" t="str">
        <v>-</v>
      </c>
      <c r="V57" s="433" t="str">
        <v>ComAir</v>
      </c>
      <c r="W57" s="433" t="str">
        <v>CHC-MCM</v>
      </c>
      <c r="X57" s="433" t="str">
        <v>-</v>
      </c>
      <c r="Y57" s="435" t="str">
        <v>USAP Air</v>
      </c>
      <c r="Z57" s="434">
        <v>45597</v>
      </c>
      <c r="AA57" s="427" t="str">
        <v>-</v>
      </c>
      <c r="AB57" s="435" t="str">
        <v>LC-130</v>
      </c>
      <c r="AC57" s="409">
        <v>45621</v>
      </c>
      <c r="AD57" s="409" t="str">
        <v>Yes</v>
      </c>
      <c r="AE57" s="409" t="str">
        <v>FY25 inter</v>
      </c>
      <c r="AF57" s="409" t="str">
        <v>FY25 intra</v>
      </c>
      <c r="AG57" s="409" t="str">
        <v>D. Tosi</v>
      </c>
      <c r="AH57" s="409">
        <v>44477</v>
      </c>
      <c r="AI57" s="409" t="str">
        <v>I. McEwen</v>
      </c>
      <c r="AJ57" s="409">
        <v>44477</v>
      </c>
      <c r="AK57" s="409" t="str">
        <v>Used weights and cubes of IDP deep logging winch. Send back end of season</v>
      </c>
      <c r="AL57" s="9"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ht="30" hidden="1" customHeight="1" thickTop="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35">
        <v>14</v>
      </c>
      <c r="P59" s="428">
        <v>44866</v>
      </c>
      <c r="Q59" s="429" t="str">
        <v>MSU - PTH</v>
      </c>
      <c r="R59" s="428">
        <v>44880</v>
      </c>
      <c r="S59" s="430" t="str">
        <v>Truck</v>
      </c>
      <c r="T59" s="431" t="str">
        <v>PTH - MCM</v>
      </c>
      <c r="U59" s="431" t="str">
        <v>-</v>
      </c>
      <c r="V59" s="433" t="str">
        <v>USAP Vessel</v>
      </c>
      <c r="W59" s="433" t="str">
        <v>USAP Vessel</v>
      </c>
      <c r="X59" s="433" t="str">
        <v>-</v>
      </c>
      <c r="Y59" s="426" t="str">
        <v>-</v>
      </c>
      <c r="Z59" s="434">
        <v>44963</v>
      </c>
      <c r="AA59" s="409" t="str">
        <v>-</v>
      </c>
      <c r="AB59" s="435" t="str">
        <v>LC-130/SPoT</v>
      </c>
      <c r="AC59" s="409">
        <v>45270</v>
      </c>
      <c r="AD59" s="409" t="str">
        <v>Yes</v>
      </c>
      <c r="AE59" s="409" t="str">
        <v>FY23 inter</v>
      </c>
      <c r="AF59" s="409" t="str">
        <v>FY24 intra</v>
      </c>
      <c r="AG59" s="409" t="str">
        <v>T. DeYoung</v>
      </c>
      <c r="AH59" s="409">
        <v>44482</v>
      </c>
      <c r="AI59" s="409" t="str">
        <v>D. Tosi</v>
      </c>
      <c r="AJ59" s="409">
        <v>44480</v>
      </c>
      <c r="AK59" s="409" t="str">
        <v>Each is 66" x 30" x 14", each is 112 lbs. Assume Folding crate. Simple passive objects, work plan can probably be shifted to increase float.</v>
      </c>
      <c r="AL59" s="9" t="str">
        <v/>
      </c>
    </row>
    <row r="60" spans="1:40" ht="32.25" hidden="1"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07" t="str">
        <v/>
      </c>
      <c r="N60" s="427" t="str">
        <v>MSU</v>
      </c>
      <c r="O60" s="435">
        <v>366</v>
      </c>
      <c r="P60" s="428">
        <v>44530</v>
      </c>
      <c r="Q60" s="429" t="str">
        <v>MSU - PTH</v>
      </c>
      <c r="R60" s="428">
        <v>44896</v>
      </c>
      <c r="S60" s="430" t="str">
        <v>Truck</v>
      </c>
      <c r="T60" s="431" t="str">
        <v>PTH - MCM</v>
      </c>
      <c r="U60" s="431" t="str">
        <v>-</v>
      </c>
      <c r="V60" s="433" t="str">
        <v>USAP Vessel</v>
      </c>
      <c r="W60" s="433" t="str">
        <v>USAP Vessel</v>
      </c>
      <c r="X60" s="433" t="str">
        <v>-</v>
      </c>
      <c r="Y60" s="426" t="str">
        <v>-</v>
      </c>
      <c r="Z60" s="434">
        <v>44963</v>
      </c>
      <c r="AA60" s="409" t="str">
        <v>-</v>
      </c>
      <c r="AB60" s="435" t="str">
        <v>LC-130</v>
      </c>
      <c r="AC60" s="409">
        <v>45250</v>
      </c>
      <c r="AD60" s="409" t="str">
        <v>Yes</v>
      </c>
      <c r="AE60" s="409" t="str">
        <v>FY23 inter</v>
      </c>
      <c r="AF60" s="409" t="str">
        <v>FY24 intra</v>
      </c>
      <c r="AG60" s="409" t="str">
        <v>T. DeYoung</v>
      </c>
      <c r="AH60" s="409">
        <v>44482</v>
      </c>
      <c r="AI60" s="409" t="str">
        <v>D. Tosi</v>
      </c>
      <c r="AJ60" s="409">
        <v>44480</v>
      </c>
      <c r="AK60" s="409" t="str">
        <v/>
      </c>
      <c r="AL60" s="9" t="str">
        <v/>
      </c>
    </row>
    <row r="61" spans="1:40" ht="68.099999999999994" hidden="1">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07" t="str">
        <v>DNDF[-40C](*)</v>
      </c>
      <c r="N61" s="427" t="str">
        <v>MSU</v>
      </c>
      <c r="O61" s="435">
        <v>46</v>
      </c>
      <c r="P61" s="428">
        <v>44985</v>
      </c>
      <c r="Q61" s="429" t="str">
        <v>MSU - PTH</v>
      </c>
      <c r="R61" s="428">
        <v>45031</v>
      </c>
      <c r="S61" s="431" t="str">
        <v>Truck</v>
      </c>
      <c r="T61" s="431" t="str">
        <v>PTH - MCM</v>
      </c>
      <c r="U61" s="431" t="str">
        <v>-</v>
      </c>
      <c r="V61" s="433" t="str">
        <v>USAP Vessel</v>
      </c>
      <c r="W61" s="433" t="str">
        <v>USAP Vessel</v>
      </c>
      <c r="X61" s="433" t="str">
        <v>-</v>
      </c>
      <c r="Y61" s="426" t="str">
        <v>-</v>
      </c>
      <c r="Z61" s="434">
        <v>45328</v>
      </c>
      <c r="AA61" s="427" t="str">
        <v>-</v>
      </c>
      <c r="AB61" s="435" t="str">
        <v>LC-130</v>
      </c>
      <c r="AC61" s="409">
        <v>45337</v>
      </c>
      <c r="AD61" s="409" t="str">
        <v>Yes</v>
      </c>
      <c r="AE61" s="409" t="str">
        <v>FY24 inter</v>
      </c>
      <c r="AF61" s="409" t="str">
        <v>FY24 intra</v>
      </c>
      <c r="AG61" s="409" t="str">
        <v>T. DeYoung</v>
      </c>
      <c r="AH61" s="409">
        <v>44459</v>
      </c>
      <c r="AI61" s="409" t="str">
        <v>D. Tosi</v>
      </c>
      <c r="AJ61" s="409">
        <v>44480</v>
      </c>
      <c r="AK61" s="409" t="e">
        <v>#VALUE!</v>
      </c>
      <c r="AL61" s="9" t="str">
        <v/>
      </c>
    </row>
    <row r="62" spans="1:40" ht="32.25" hidden="1" customHeight="1">
      <c r="A62" s="35">
        <v>1.4</v>
      </c>
      <c r="B62" s="89" t="str">
        <v>Installation</v>
      </c>
      <c r="C62" s="20" t="str">
        <v>Breakout cables for strings 89-93</v>
      </c>
      <c r="D62" s="20" t="str">
        <v>Stored in McMurdo FY24. 5 wooden crates containing spooled breakout cable assemblies - 96 cf/ 1,000 lbs each (preliminary) -  Do Not Deep Freeze</v>
      </c>
      <c r="E62" s="36">
        <v>72</v>
      </c>
      <c r="F62" s="36">
        <v>48</v>
      </c>
      <c r="G62" s="36">
        <v>48</v>
      </c>
      <c r="H62" s="23">
        <v>5</v>
      </c>
      <c r="I62" s="4">
        <v>480</v>
      </c>
      <c r="J62" s="4">
        <v>1000</v>
      </c>
      <c r="K62" s="4">
        <v>5000</v>
      </c>
      <c r="L62" s="36" t="str">
        <v>estimated</v>
      </c>
      <c r="M62" s="497" t="str">
        <v>DNDF[-40C](*)</v>
      </c>
      <c r="N62" s="427" t="str">
        <v>MSU</v>
      </c>
      <c r="O62" s="435">
        <v>24</v>
      </c>
      <c r="P62" s="428">
        <v>45068</v>
      </c>
      <c r="Q62" s="429" t="str">
        <v>MSU - PTH</v>
      </c>
      <c r="R62" s="428">
        <v>45092</v>
      </c>
      <c r="S62" s="431" t="str">
        <v>Truck</v>
      </c>
      <c r="T62" s="431" t="str">
        <v>PTH - MCM</v>
      </c>
      <c r="U62" s="431" t="str">
        <v>-</v>
      </c>
      <c r="V62" s="433" t="str">
        <v>USAP Vessel</v>
      </c>
      <c r="W62" s="433" t="str">
        <v>USAP Vessel</v>
      </c>
      <c r="X62" s="433" t="str">
        <v>-</v>
      </c>
      <c r="Y62" s="426" t="str">
        <v>-</v>
      </c>
      <c r="Z62" s="434">
        <v>45328</v>
      </c>
      <c r="AA62" s="427" t="str">
        <v>-</v>
      </c>
      <c r="AB62" s="435" t="str">
        <v>LC-130/SPoT</v>
      </c>
      <c r="AC62" s="409">
        <v>45621</v>
      </c>
      <c r="AD62" s="409" t="str">
        <v>Yes</v>
      </c>
      <c r="AE62" s="409" t="str">
        <v>FY24 inter</v>
      </c>
      <c r="AF62" s="409" t="str">
        <v>FY25 intra</v>
      </c>
      <c r="AG62" s="409" t="str">
        <v>T. DeYoung</v>
      </c>
      <c r="AH62" s="409">
        <v>44459</v>
      </c>
      <c r="AI62" s="409" t="str">
        <v>D. Tosi</v>
      </c>
      <c r="AJ62" s="409">
        <v>44459</v>
      </c>
      <c r="AK62" s="409" t="str">
        <v xml:space="preserve">Float in PTH due to storage limitation in MSU.
(*) storage in McMurdo pending low temperature test  </v>
      </c>
      <c r="AL62" s="9" t="str">
        <v/>
      </c>
    </row>
    <row r="63" spans="1:40" ht="32.25" hidden="1" customHeight="1">
      <c r="A63" s="35">
        <v>1.4</v>
      </c>
      <c r="B63" s="51" t="str">
        <v>Installation</v>
      </c>
      <c r="C63" s="20" t="str">
        <v>Main (downhole) load members 87-93</v>
      </c>
      <c r="D63" s="20" t="str">
        <v>May be possible to store in McMurdo until drill season - Do Not Deep Freeze</v>
      </c>
      <c r="E63" s="36">
        <v>47</v>
      </c>
      <c r="F63" s="36">
        <v>47</v>
      </c>
      <c r="G63" s="36">
        <v>39</v>
      </c>
      <c r="H63" s="23">
        <v>7</v>
      </c>
      <c r="I63" s="4">
        <v>348.99131944444446</v>
      </c>
      <c r="J63" s="4">
        <v>766</v>
      </c>
      <c r="K63" s="4">
        <v>5362</v>
      </c>
      <c r="L63" s="36" t="str">
        <v>preliminary</v>
      </c>
      <c r="M63" s="107" t="str">
        <v>DNDF[-40C](*)</v>
      </c>
      <c r="N63" s="427" t="str">
        <v>MSU</v>
      </c>
      <c r="O63" s="435">
        <v>14</v>
      </c>
      <c r="P63" s="428">
        <v>45017</v>
      </c>
      <c r="Q63" s="429" t="str">
        <v>MSU - PTH</v>
      </c>
      <c r="R63" s="428">
        <v>45031</v>
      </c>
      <c r="S63" s="431" t="str">
        <v>Truck</v>
      </c>
      <c r="T63" s="431" t="str">
        <v>PTH - MCM</v>
      </c>
      <c r="U63" s="431" t="str">
        <v>-</v>
      </c>
      <c r="V63" s="433" t="str">
        <v>USAP Vessel</v>
      </c>
      <c r="W63" s="433" t="str">
        <v>USAP Vessel</v>
      </c>
      <c r="X63" s="433" t="str">
        <v>-</v>
      </c>
      <c r="Y63" s="426" t="str">
        <v>-</v>
      </c>
      <c r="Z63" s="434">
        <v>45328</v>
      </c>
      <c r="AA63" s="409" t="str">
        <v>-</v>
      </c>
      <c r="AB63" s="435" t="str">
        <v>LC-130/SPoT</v>
      </c>
      <c r="AC63" s="409">
        <v>45627</v>
      </c>
      <c r="AD63" s="409" t="str">
        <v>Yes</v>
      </c>
      <c r="AE63" s="409" t="str">
        <v>FY24 inter</v>
      </c>
      <c r="AF63" s="409" t="str">
        <v>FY25 intra</v>
      </c>
      <c r="AG63" s="409" t="str">
        <v>T. DeYoung</v>
      </c>
      <c r="AH63" s="409">
        <v>44459</v>
      </c>
      <c r="AI63" s="409" t="str">
        <v>D. Tosi</v>
      </c>
      <c r="AJ63" s="409">
        <v>44480</v>
      </c>
      <c r="AK63" s="409" t="str">
        <v>Shipping date synched with main (downhole) cables due to storage limitation in MSU. Float in PTH.</v>
      </c>
      <c r="AL63" s="9" t="str">
        <v/>
      </c>
    </row>
    <row r="64" spans="1:40" ht="40.5" hidden="1" customHeight="1">
      <c r="A64" s="35">
        <v>1.4</v>
      </c>
      <c r="B64" s="51" t="str">
        <v>Installation</v>
      </c>
      <c r="C64" s="20" t="str">
        <v>Main (downhole) cables 87-93</v>
      </c>
      <c r="D64" s="20" t="str">
        <v>May be possible to store in McMurdo until drill season - Do Not Deep Freeze</v>
      </c>
      <c r="E64" s="36">
        <v>96</v>
      </c>
      <c r="F64" s="36">
        <v>96</v>
      </c>
      <c r="G64" s="36">
        <v>96</v>
      </c>
      <c r="H64" s="23">
        <v>7</v>
      </c>
      <c r="I64" s="4">
        <v>3584</v>
      </c>
      <c r="J64" s="4">
        <v>15000</v>
      </c>
      <c r="K64" s="4">
        <v>105000</v>
      </c>
      <c r="L64" s="36" t="str">
        <v>preliminary</v>
      </c>
      <c r="M64" s="107" t="str">
        <v>DNDF[-40C](*)</v>
      </c>
      <c r="N64" s="427" t="str">
        <v>MSU</v>
      </c>
      <c r="O64" s="435">
        <v>14</v>
      </c>
      <c r="P64" s="428">
        <v>45017</v>
      </c>
      <c r="Q64" s="429" t="str">
        <v>MSU - PTH</v>
      </c>
      <c r="R64" s="428">
        <v>45031</v>
      </c>
      <c r="S64" s="431" t="str">
        <v>Truck</v>
      </c>
      <c r="T64" s="431" t="str">
        <v>PTH - MCM</v>
      </c>
      <c r="U64" s="431" t="str">
        <v>-</v>
      </c>
      <c r="V64" s="433" t="str">
        <v>USAP Vessel</v>
      </c>
      <c r="W64" s="433" t="str">
        <v>USAP Vessel</v>
      </c>
      <c r="X64" s="433" t="str">
        <v>-</v>
      </c>
      <c r="Y64" s="426" t="str">
        <v>-</v>
      </c>
      <c r="Z64" s="434">
        <v>45328</v>
      </c>
      <c r="AA64" s="409" t="str">
        <v>-</v>
      </c>
      <c r="AB64" s="435" t="str">
        <v>LC-130/SPoT</v>
      </c>
      <c r="AC64" s="409">
        <v>45627</v>
      </c>
      <c r="AD64" s="409" t="str">
        <v>Yes</v>
      </c>
      <c r="AE64" s="409" t="str">
        <v>FY24 inter</v>
      </c>
      <c r="AF64" s="409" t="str">
        <v>FY25 intra</v>
      </c>
      <c r="AG64" s="409" t="str">
        <v>T. DeYoung</v>
      </c>
      <c r="AH64" s="409">
        <v>44459</v>
      </c>
      <c r="AI64" s="409" t="str">
        <v>D. Tosi</v>
      </c>
      <c r="AJ64" s="409">
        <v>44480</v>
      </c>
      <c r="AK64" s="409" t="str">
        <v>Shipping date chosen to be 2 weeks after scheduled ready to ship date because of storage limitations at MSU. additional 7 months of float at Port Hueneme assuming USAP vessel departure.  (*) storage in McMurdo pending low temperature test.</v>
      </c>
      <c r="AL64" s="9" t="str">
        <v/>
      </c>
    </row>
    <row r="65" spans="1:40" ht="72" hidden="1" customHeight="1">
      <c r="A65" s="25">
        <v>1.3</v>
      </c>
      <c r="B65" s="48" t="str">
        <v>Installation</v>
      </c>
      <c r="C65" s="3" t="str">
        <v>String Sensors 89-93</v>
      </c>
      <c r="D65" s="3" t="str">
        <v>Optical Sensors for 5 strings from MSU (mDOMs) - Do Not Deep Freeze</v>
      </c>
      <c r="E65" s="23">
        <v>40</v>
      </c>
      <c r="F65" s="23">
        <v>48</v>
      </c>
      <c r="G65" s="445">
        <v>46</v>
      </c>
      <c r="H65" s="23">
        <v>25</v>
      </c>
      <c r="I65" s="4">
        <v>1277.7777777777778</v>
      </c>
      <c r="J65" s="4">
        <v>573</v>
      </c>
      <c r="K65" s="4">
        <v>14325</v>
      </c>
      <c r="L65" s="445" t="str">
        <v>actual(**)</v>
      </c>
      <c r="M65" s="6" t="str">
        <v>DNDF [-40C]</v>
      </c>
      <c r="N65" s="10" t="str">
        <v>MSU</v>
      </c>
      <c r="O65" s="435">
        <v>366</v>
      </c>
      <c r="P65" s="428">
        <v>45139</v>
      </c>
      <c r="Q65" s="429" t="str">
        <v>MSU - PTH</v>
      </c>
      <c r="R65" s="428">
        <v>45505</v>
      </c>
      <c r="S65" s="431" t="str">
        <v>Truck</v>
      </c>
      <c r="T65" s="431" t="str">
        <v>PTH - CHC</v>
      </c>
      <c r="U65" s="431" t="str">
        <v>-</v>
      </c>
      <c r="V65" s="433" t="str">
        <v>ComSur</v>
      </c>
      <c r="W65" s="433" t="str">
        <v>CHC - MCM</v>
      </c>
      <c r="X65" s="433" t="str">
        <v>-</v>
      </c>
      <c r="Y65" s="435" t="str">
        <v>USAP Air</v>
      </c>
      <c r="Z65" s="434">
        <v>45597</v>
      </c>
      <c r="AA65" s="427" t="str">
        <v>-</v>
      </c>
      <c r="AB65" s="435" t="str">
        <v>LC-130</v>
      </c>
      <c r="AC65" s="409">
        <v>45621</v>
      </c>
      <c r="AD65" s="409" t="str">
        <v>Yes</v>
      </c>
      <c r="AE65" s="409" t="str">
        <v>FY25 inter</v>
      </c>
      <c r="AF65" s="409" t="str">
        <v>FY25 intra</v>
      </c>
      <c r="AG65" s="409" t="str">
        <v>T. Karg</v>
      </c>
      <c r="AH65" s="409">
        <v>44459</v>
      </c>
      <c r="AI65" s="409" t="str">
        <v>D. Tosi</v>
      </c>
      <c r="AJ65" s="409">
        <v>44461</v>
      </c>
      <c r="AK65" s="409" t="str">
        <v>mDOM weight is 28 kg/boxed + 35kg pallet, assume 8 mDOMs/pallet (189 to be deployed + 11 spares)(*)Assumed to be shipped in 2x20' HC  (5115 lbs, 238inx96inx114in) or a 40 ft HC, purchased by MSU or loaned in PTH (container weight not included)</v>
      </c>
      <c r="AL65" s="9" t="str">
        <v/>
      </c>
    </row>
    <row r="66" spans="1:40" ht="51" hidden="1">
      <c r="A66" s="25">
        <v>1.3</v>
      </c>
      <c r="B66" s="48" t="str">
        <v>Installation</v>
      </c>
      <c r="C66" s="3" t="str">
        <v>String Sensors 89-93</v>
      </c>
      <c r="D66" s="3" t="str">
        <v>Optical Sensors for 5 strings from MSU (mDOMs) containers (TBD) - Do Not Deep Freeze</v>
      </c>
      <c r="E66" s="23">
        <v>238</v>
      </c>
      <c r="F66" s="23">
        <v>96</v>
      </c>
      <c r="G66" s="445">
        <v>114</v>
      </c>
      <c r="H66" s="23">
        <v>0</v>
      </c>
      <c r="I66" s="4">
        <v>0</v>
      </c>
      <c r="J66" s="4">
        <v>5115</v>
      </c>
      <c r="K66" s="4">
        <v>0</v>
      </c>
      <c r="L66" s="445" t="str">
        <v>actual(**)</v>
      </c>
      <c r="M66" s="6" t="str">
        <v>DNDF [-40C]</v>
      </c>
      <c r="N66" s="10" t="str">
        <v>MSU</v>
      </c>
      <c r="O66" s="435">
        <v>366</v>
      </c>
      <c r="P66" s="428">
        <v>45139</v>
      </c>
      <c r="Q66" s="429" t="str">
        <v>MSU - PTH</v>
      </c>
      <c r="R66" s="428">
        <v>45505</v>
      </c>
      <c r="S66" s="431" t="str">
        <v>Truck</v>
      </c>
      <c r="T66" s="431" t="str">
        <v>PTH - CHC</v>
      </c>
      <c r="U66" s="431" t="str">
        <v>-</v>
      </c>
      <c r="V66" s="433" t="str">
        <v>ComSur</v>
      </c>
      <c r="W66" s="433" t="str">
        <v>CHC - MCM</v>
      </c>
      <c r="X66" s="433" t="str">
        <v>-</v>
      </c>
      <c r="Y66" s="435" t="str">
        <v>USAP Air</v>
      </c>
      <c r="Z66" s="434">
        <v>45597</v>
      </c>
      <c r="AA66" s="427" t="str">
        <v>-</v>
      </c>
      <c r="AB66" s="435" t="str">
        <v>LC-130</v>
      </c>
      <c r="AC66" s="409">
        <v>45621</v>
      </c>
      <c r="AD66" s="409" t="str">
        <v>Yes</v>
      </c>
      <c r="AE66" s="409" t="str">
        <v>FY25 inter</v>
      </c>
      <c r="AF66" s="409" t="str">
        <v>FY25 intra</v>
      </c>
      <c r="AG66" s="409" t="str">
        <v>T. Karg</v>
      </c>
      <c r="AH66" s="409">
        <v>44459</v>
      </c>
      <c r="AI66" s="409" t="str">
        <v>D. Tosi</v>
      </c>
      <c r="AJ66" s="409">
        <v>44461</v>
      </c>
      <c r="AK66" s="409" t="str">
        <v>Assume 2x20HC containers for transport on COMSUR (TBC). Pallets could be loaded to 53 ft truck and loaded into a loaned container in PTH but this would increase touch points (and risk)</v>
      </c>
      <c r="AL66" s="9"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hidden="1" customHeight="1" thickTop="1">
      <c r="A68" s="25">
        <v>1.3</v>
      </c>
      <c r="B68" s="48" t="str">
        <v>Installation</v>
      </c>
      <c r="C68" s="3" t="str">
        <v>DM-Ice</v>
      </c>
      <c r="D68" s="3" t="str">
        <v>DM-ice (two modules for string 89 and 90) - Do Not Deep Freeze</v>
      </c>
      <c r="E68" s="23">
        <v>48</v>
      </c>
      <c r="F68" s="23">
        <v>48</v>
      </c>
      <c r="G68" s="23">
        <v>48</v>
      </c>
      <c r="H68" s="23">
        <v>1</v>
      </c>
      <c r="I68" s="4">
        <v>64</v>
      </c>
      <c r="J68" s="4">
        <v>1500</v>
      </c>
      <c r="K68" s="4">
        <v>1500</v>
      </c>
      <c r="L68" s="445" t="str">
        <v>estimated</v>
      </c>
      <c r="M68" s="6" t="str">
        <v>DNDF [-40C]</v>
      </c>
      <c r="N68" s="10" t="str">
        <v>Yale</v>
      </c>
      <c r="O68" s="435">
        <v>61</v>
      </c>
      <c r="P68" s="428">
        <v>45444</v>
      </c>
      <c r="Q68" s="429" t="str">
        <v>Yale - PTH</v>
      </c>
      <c r="R68" s="428">
        <v>45505</v>
      </c>
      <c r="S68" s="431" t="str">
        <v>Truck</v>
      </c>
      <c r="T68" s="431" t="str">
        <v>PTH - CHC</v>
      </c>
      <c r="U68" s="431" t="str">
        <v>-</v>
      </c>
      <c r="V68" s="433" t="str">
        <v>ComSur</v>
      </c>
      <c r="W68" s="433" t="str">
        <v>CHC - MCM</v>
      </c>
      <c r="X68" s="433" t="str">
        <v>-</v>
      </c>
      <c r="Y68" s="435" t="str">
        <v>USAP Air</v>
      </c>
      <c r="Z68" s="434">
        <v>45597</v>
      </c>
      <c r="AA68" s="427" t="str">
        <v>-</v>
      </c>
      <c r="AB68" s="435" t="str">
        <v>LC-130</v>
      </c>
      <c r="AC68" s="409">
        <v>45621</v>
      </c>
      <c r="AD68" s="409" t="str">
        <v>Yes</v>
      </c>
      <c r="AE68" s="409" t="str">
        <v>FY25 inter</v>
      </c>
      <c r="AF68" s="409" t="str">
        <v>FY25 intra</v>
      </c>
      <c r="AG68" s="409" t="str">
        <v>M. Kauer</v>
      </c>
      <c r="AH68" s="409">
        <v>44459</v>
      </c>
      <c r="AI68" s="409" t="str">
        <v>D. Tosi</v>
      </c>
      <c r="AJ68" s="409">
        <v>44459</v>
      </c>
      <c r="AK68" s="409" t="str">
        <v/>
      </c>
      <c r="AL68" s="9"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ht="68.099999999999994" hidden="1">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35">
        <v>122</v>
      </c>
      <c r="P70" s="428">
        <v>45017</v>
      </c>
      <c r="Q70" s="429" t="str">
        <v>DESY - CHC</v>
      </c>
      <c r="R70" s="428">
        <v>45139</v>
      </c>
      <c r="S70" s="431" t="str">
        <v>ComSur</v>
      </c>
      <c r="T70" s="431" t="str">
        <v>DESY-CHC</v>
      </c>
      <c r="U70" s="431" t="str">
        <v>-</v>
      </c>
      <c r="V70" s="433" t="str">
        <v>ComSur</v>
      </c>
      <c r="W70" s="433" t="str">
        <v>CHC - MCM</v>
      </c>
      <c r="X70" s="433" t="str">
        <v>-</v>
      </c>
      <c r="Y70" s="435" t="str">
        <v>USAP  Air</v>
      </c>
      <c r="Z70" s="434">
        <v>45231</v>
      </c>
      <c r="AA70" s="427" t="str">
        <v>-</v>
      </c>
      <c r="AB70" s="435" t="str">
        <v>LC-130</v>
      </c>
      <c r="AC70" s="409">
        <v>45306</v>
      </c>
      <c r="AD70" s="409" t="str">
        <v>Yes</v>
      </c>
      <c r="AE70" s="409" t="str">
        <v>FY24 inter</v>
      </c>
      <c r="AF70" s="409" t="str">
        <v>FY24 intra</v>
      </c>
      <c r="AG70" s="409" t="str">
        <v>T. Karg</v>
      </c>
      <c r="AH70" s="409">
        <v>44459</v>
      </c>
      <c r="AI70" s="409" t="str">
        <v>D. Tosi</v>
      </c>
      <c r="AJ70" s="409">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ht="68.099999999999994" hidden="1">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35">
        <v>122</v>
      </c>
      <c r="P71" s="428">
        <v>45017</v>
      </c>
      <c r="Q71" s="429" t="str">
        <v>DESY - CHC</v>
      </c>
      <c r="R71" s="428">
        <v>45139</v>
      </c>
      <c r="S71" s="431" t="str">
        <v>ComSur</v>
      </c>
      <c r="T71" s="431" t="str">
        <v>DESY-CHC</v>
      </c>
      <c r="U71" s="431" t="str">
        <v>-</v>
      </c>
      <c r="V71" s="433" t="str">
        <v>ComSur</v>
      </c>
      <c r="W71" s="433" t="str">
        <v>CHC - MCM</v>
      </c>
      <c r="X71" s="433" t="str">
        <v>-</v>
      </c>
      <c r="Y71" s="435" t="str">
        <v>USAP  Air</v>
      </c>
      <c r="Z71" s="434">
        <v>45231</v>
      </c>
      <c r="AA71" s="427" t="str">
        <v>-</v>
      </c>
      <c r="AB71" s="435" t="str">
        <v>LC-130</v>
      </c>
      <c r="AC71" s="409">
        <v>45306</v>
      </c>
      <c r="AD71" s="409" t="str">
        <v>Yes</v>
      </c>
      <c r="AE71" s="409" t="str">
        <v>FY24 inter</v>
      </c>
      <c r="AF71" s="409" t="str">
        <v>FY24 intra</v>
      </c>
      <c r="AG71" s="409" t="str">
        <v>T. Karg</v>
      </c>
      <c r="AH71" s="409">
        <v>44459</v>
      </c>
      <c r="AI71" s="409" t="str">
        <v>D. Tosi</v>
      </c>
      <c r="AJ71" s="409">
        <v>44461</v>
      </c>
      <c r="AK71" s="409" t="str">
        <v>mDOM weight is 62 lbs (25kg/sensor + 3 kg/box) + 35kg pallet, assume 8 mDOMs/pallet - shipped in 20 HC container. Container weight not included in the assumption that pallet will be taken out in CHC.</v>
      </c>
      <c r="AL71" s="9" t="str">
        <v/>
      </c>
    </row>
    <row r="72" spans="1:40" ht="33.950000000000003" hidden="1">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35">
        <v>212</v>
      </c>
      <c r="P72" s="428">
        <v>44927</v>
      </c>
      <c r="Q72" s="429" t="str">
        <v>DESY - CHC</v>
      </c>
      <c r="R72" s="428">
        <v>45139</v>
      </c>
      <c r="S72" s="431" t="str">
        <v>ComSur</v>
      </c>
      <c r="T72" s="431" t="str">
        <v>DESY-CHC</v>
      </c>
      <c r="U72" s="431" t="str">
        <v>-</v>
      </c>
      <c r="V72" s="433" t="str">
        <v>ComSur</v>
      </c>
      <c r="W72" s="433" t="str">
        <v>CHC - MCM</v>
      </c>
      <c r="X72" s="433" t="str">
        <v>-</v>
      </c>
      <c r="Y72" s="435" t="str">
        <v>USAP  Air</v>
      </c>
      <c r="Z72" s="434">
        <v>45231</v>
      </c>
      <c r="AA72" s="427" t="str">
        <v>-</v>
      </c>
      <c r="AB72" s="435" t="str">
        <v>LC-130</v>
      </c>
      <c r="AC72" s="409">
        <v>45306</v>
      </c>
      <c r="AD72" s="409" t="str">
        <v>Yes</v>
      </c>
      <c r="AE72" s="409" t="str">
        <v>FY24 inter</v>
      </c>
      <c r="AF72" s="409" t="str">
        <v>FY24 intra</v>
      </c>
      <c r="AG72" s="409" t="str">
        <v>S. Boeser</v>
      </c>
      <c r="AH72" s="409">
        <v>44482</v>
      </c>
      <c r="AI72" s="409" t="str">
        <v>D. Tosi</v>
      </c>
      <c r="AJ72" s="409">
        <v>44482</v>
      </c>
      <c r="AK72" s="409" t="str">
        <v xml:space="preserve">8 WOMs (no spares) - AH not included for now. Assume 150 lbs crate.  </v>
      </c>
      <c r="AL72" s="9" t="str">
        <v/>
      </c>
    </row>
    <row r="73" spans="1:40" ht="33.950000000000003" hidden="1">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35">
        <v>426</v>
      </c>
      <c r="P73" s="428">
        <v>44713</v>
      </c>
      <c r="Q73" s="429" t="str">
        <v>DESY - CHC</v>
      </c>
      <c r="R73" s="428">
        <v>45139</v>
      </c>
      <c r="S73" s="431" t="str">
        <v>ComSur</v>
      </c>
      <c r="T73" s="431" t="str">
        <v>DESY-CHC</v>
      </c>
      <c r="U73" s="431" t="str">
        <v>-</v>
      </c>
      <c r="V73" s="433" t="str">
        <v>ComSur</v>
      </c>
      <c r="W73" s="433" t="str">
        <v>CHC-MCM</v>
      </c>
      <c r="X73" s="433" t="str">
        <v>-</v>
      </c>
      <c r="Y73" s="435" t="str">
        <v>USAP  Air</v>
      </c>
      <c r="Z73" s="434">
        <v>45231</v>
      </c>
      <c r="AA73" s="427" t="str">
        <v>-</v>
      </c>
      <c r="AB73" s="435" t="str">
        <v>LC-130</v>
      </c>
      <c r="AC73" s="409">
        <v>45306</v>
      </c>
      <c r="AD73" s="409" t="str">
        <v>Yes</v>
      </c>
      <c r="AE73" s="409" t="str">
        <v>FY24 inter</v>
      </c>
      <c r="AF73" s="409" t="str">
        <v>FY24 intra</v>
      </c>
      <c r="AG73" s="409" t="str">
        <v>D. Williams</v>
      </c>
      <c r="AH73" s="409">
        <v>44482</v>
      </c>
      <c r="AI73" s="409" t="str">
        <v>D. Tosi</v>
      </c>
      <c r="AJ73" s="409">
        <v>44482</v>
      </c>
      <c r="AK73" s="409" t="str">
        <v>Calibration devices for strings 87-88 = 2+1 Sweden Camera + 3+1 Acoustic Module + 4+1 POCAM, including spares, 200 lbs crate</v>
      </c>
      <c r="AL73" s="9" t="str">
        <v/>
      </c>
    </row>
    <row r="74" spans="1:40" ht="33.950000000000003" hidden="1">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35">
        <v>14</v>
      </c>
      <c r="P74" s="428">
        <v>45139</v>
      </c>
      <c r="Q74" s="429" t="str">
        <v>DESY - CHC</v>
      </c>
      <c r="R74" s="428">
        <v>45153</v>
      </c>
      <c r="S74" s="431" t="str">
        <v>ComSur</v>
      </c>
      <c r="T74" s="431" t="str">
        <v>DESY-CHC</v>
      </c>
      <c r="U74" s="431" t="str">
        <v>-</v>
      </c>
      <c r="V74" s="433" t="str">
        <v>ComSur</v>
      </c>
      <c r="W74" s="433" t="str">
        <v>CHC-MCM</v>
      </c>
      <c r="X74" s="433" t="str">
        <v>-</v>
      </c>
      <c r="Y74" s="435" t="str">
        <v>USAP  Air</v>
      </c>
      <c r="Z74" s="434">
        <v>45231</v>
      </c>
      <c r="AA74" s="427" t="str">
        <v>-</v>
      </c>
      <c r="AB74" s="435" t="str">
        <v>LC-130</v>
      </c>
      <c r="AC74" s="409">
        <v>45261</v>
      </c>
      <c r="AD74" s="409" t="str">
        <v>No</v>
      </c>
      <c r="AE74" s="409" t="str">
        <v>FY24 inter</v>
      </c>
      <c r="AF74" s="409" t="str">
        <v>FY24 intra</v>
      </c>
      <c r="AG74" s="409" t="str">
        <v>J. Kelley</v>
      </c>
      <c r="AH74" s="409">
        <v>44482</v>
      </c>
      <c r="AI74" s="409" t="str">
        <v>D. Tosi</v>
      </c>
      <c r="AJ74" s="409">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hidden="1">
      <c r="A75" s="25">
        <v>1.3</v>
      </c>
      <c r="B75" s="48" t="str">
        <v>Installation</v>
      </c>
      <c r="C75" s="3" t="str">
        <v>String Sensors 89-93</v>
      </c>
      <c r="D75" s="3" t="str">
        <v>Optical sensors for 5 strings from Germany (mDOMs) - Do Not Deep Freeze</v>
      </c>
      <c r="E75" s="23">
        <v>40</v>
      </c>
      <c r="F75" s="23">
        <v>48</v>
      </c>
      <c r="G75" s="445">
        <v>46</v>
      </c>
      <c r="H75" s="23">
        <v>12</v>
      </c>
      <c r="I75" s="4">
        <v>613.33333333333337</v>
      </c>
      <c r="J75" s="4">
        <v>573</v>
      </c>
      <c r="K75" s="4">
        <v>6876</v>
      </c>
      <c r="L75" s="445" t="str">
        <v>actual(**)</v>
      </c>
      <c r="M75" s="6" t="str">
        <v>DNDF [-40C]</v>
      </c>
      <c r="N75" s="10" t="str">
        <v>DESY</v>
      </c>
      <c r="O75" s="435">
        <v>397</v>
      </c>
      <c r="P75" s="428">
        <v>45108</v>
      </c>
      <c r="Q75" s="429" t="str">
        <v>DESY - CHC</v>
      </c>
      <c r="R75" s="428">
        <v>45505</v>
      </c>
      <c r="S75" s="431" t="str">
        <v>ComSur</v>
      </c>
      <c r="T75" s="431" t="str">
        <v>DESY-CHC</v>
      </c>
      <c r="U75" s="431" t="str">
        <v>-</v>
      </c>
      <c r="V75" s="433" t="str">
        <v>ComSur</v>
      </c>
      <c r="W75" s="433" t="str">
        <v>CHC - MCM</v>
      </c>
      <c r="X75" s="433" t="str">
        <v>-</v>
      </c>
      <c r="Y75" s="435" t="str">
        <v>USAP  Air</v>
      </c>
      <c r="Z75" s="434">
        <v>45597</v>
      </c>
      <c r="AA75" s="427" t="str">
        <v>-</v>
      </c>
      <c r="AB75" s="435" t="str">
        <v>LC-130</v>
      </c>
      <c r="AC75" s="409">
        <v>45621</v>
      </c>
      <c r="AD75" s="409" t="str">
        <v>Yes</v>
      </c>
      <c r="AE75" s="409" t="str">
        <v>FY25 inter</v>
      </c>
      <c r="AF75" s="409" t="str">
        <v>FY25 intra</v>
      </c>
      <c r="AG75" s="409" t="str">
        <v>T. Karg</v>
      </c>
      <c r="AH75" s="409">
        <v>44459</v>
      </c>
      <c r="AI75" s="409" t="str">
        <v>D. Tosi</v>
      </c>
      <c r="AJ75" s="409">
        <v>44461</v>
      </c>
      <c r="AK75" s="409" t="str">
        <v>mDOM weight is (28kg/sensor boxed) + 35kg pallet, assume 8 mDOMs/pallet - 190 to be deployed + 10 spares. (**) shipped in 20 HC container. Container not included in weight as pallets will be taken out.</v>
      </c>
      <c r="AL75" s="9" t="str">
        <v/>
      </c>
    </row>
    <row r="76" spans="1:40" ht="33.950000000000003" hidden="1">
      <c r="A76" s="25">
        <v>1.3</v>
      </c>
      <c r="B76" s="48" t="str">
        <v>Installation</v>
      </c>
      <c r="C76" s="3" t="str">
        <v>Special Devices 89-93</v>
      </c>
      <c r="D76" s="3" t="str">
        <v>Special devices for 5 remaining strings from DESY/Germany/Sweden (6 WOMs,  3 Abalone Hubs or WOM Traps)  no spares - Do Not Deep Freeze</v>
      </c>
      <c r="E76" s="23">
        <v>32</v>
      </c>
      <c r="F76" s="23">
        <v>31</v>
      </c>
      <c r="G76" s="23">
        <v>89</v>
      </c>
      <c r="H76" s="23">
        <v>1</v>
      </c>
      <c r="I76" s="4">
        <v>51.092592592592595</v>
      </c>
      <c r="J76" s="4">
        <v>1035</v>
      </c>
      <c r="K76" s="4">
        <v>1035</v>
      </c>
      <c r="L76" s="445" t="str">
        <v>preliminary</v>
      </c>
      <c r="M76" s="38" t="str">
        <v>DNDF [-40C]</v>
      </c>
      <c r="N76" s="10" t="str">
        <v>Mainz</v>
      </c>
      <c r="O76" s="435">
        <v>213</v>
      </c>
      <c r="P76" s="428">
        <v>45292</v>
      </c>
      <c r="Q76" s="429" t="str">
        <v>DESY - CHC</v>
      </c>
      <c r="R76" s="428">
        <v>45505</v>
      </c>
      <c r="S76" s="431" t="str">
        <v>ComSur</v>
      </c>
      <c r="T76" s="431" t="str">
        <v>DESY-CHC</v>
      </c>
      <c r="U76" s="431" t="str">
        <v>-</v>
      </c>
      <c r="V76" s="433" t="str">
        <v>ComSur</v>
      </c>
      <c r="W76" s="433" t="str">
        <v>CHC - MCM</v>
      </c>
      <c r="X76" s="433" t="str">
        <v>-</v>
      </c>
      <c r="Y76" s="435" t="str">
        <v>USAP  Air</v>
      </c>
      <c r="Z76" s="434">
        <v>45597</v>
      </c>
      <c r="AA76" s="427" t="str">
        <v>-</v>
      </c>
      <c r="AB76" s="435" t="str">
        <v>LC-130</v>
      </c>
      <c r="AC76" s="409">
        <v>45621</v>
      </c>
      <c r="AD76" s="409" t="str">
        <v>Yes</v>
      </c>
      <c r="AE76" s="409" t="str">
        <v>FY25 inter</v>
      </c>
      <c r="AF76" s="409" t="str">
        <v>FY25 intra</v>
      </c>
      <c r="AG76" s="409" t="str">
        <v>S. Boeser</v>
      </c>
      <c r="AH76" s="409">
        <v>44482</v>
      </c>
      <c r="AI76" s="409" t="str">
        <v>D. Tosi</v>
      </c>
      <c r="AJ76" s="409">
        <v>44482</v>
      </c>
      <c r="AK76" s="409" t="str">
        <v>6 Special Devices from Germany 6 (WOM + 0 AH) including 0 spare for each. Assume 170 lbs crate.</v>
      </c>
      <c r="AL76" s="9" t="str">
        <v/>
      </c>
    </row>
    <row r="77" spans="1:40" ht="50.25" hidden="1" customHeight="1">
      <c r="A77" s="25">
        <v>1.5</v>
      </c>
      <c r="B77" s="48" t="str">
        <v>Installation</v>
      </c>
      <c r="C77" s="3" t="str">
        <v>Calibration Devices 89-93</v>
      </c>
      <c r="D77" s="3" t="str">
        <v>Calibration for 5 strings from DESY/Germany/Sweden (17+2 POCAMs, 7+ 1 Acoustic sensors,  3+ 1 Swedish Cameras) including spares - Do Not Deep Freeze</v>
      </c>
      <c r="E77" s="92">
        <v>62</v>
      </c>
      <c r="F77" s="92">
        <v>48</v>
      </c>
      <c r="G77" s="92">
        <v>44</v>
      </c>
      <c r="H77" s="23">
        <v>1</v>
      </c>
      <c r="I77" s="4">
        <v>75.777777777777771</v>
      </c>
      <c r="J77" s="4">
        <v>1694</v>
      </c>
      <c r="K77" s="4">
        <v>1694</v>
      </c>
      <c r="L77" s="445" t="str">
        <v>preliminary</v>
      </c>
      <c r="M77" s="6" t="str">
        <v>DNDF [-40C]</v>
      </c>
      <c r="N77" s="10" t="str">
        <v>TUM/Aachen/Sweden</v>
      </c>
      <c r="O77" s="435">
        <v>792</v>
      </c>
      <c r="P77" s="428">
        <v>44713</v>
      </c>
      <c r="Q77" s="429" t="str">
        <v>DESY - CHC</v>
      </c>
      <c r="R77" s="428">
        <v>45505</v>
      </c>
      <c r="S77" s="431" t="str">
        <v>ComSur</v>
      </c>
      <c r="T77" s="431" t="str">
        <v>DESY-CHC</v>
      </c>
      <c r="U77" s="431" t="str">
        <v>-</v>
      </c>
      <c r="V77" s="433" t="str">
        <v>ComSur</v>
      </c>
      <c r="W77" s="433" t="str">
        <v>CHC-MCM</v>
      </c>
      <c r="X77" s="433" t="str">
        <v>-</v>
      </c>
      <c r="Y77" s="435" t="str">
        <v>USAP  Air</v>
      </c>
      <c r="Z77" s="434">
        <v>45597</v>
      </c>
      <c r="AA77" s="427" t="str">
        <v>-</v>
      </c>
      <c r="AB77" s="435" t="str">
        <v>LC-130</v>
      </c>
      <c r="AC77" s="409">
        <v>45621</v>
      </c>
      <c r="AD77" s="409" t="str">
        <v>Yes</v>
      </c>
      <c r="AE77" s="409" t="str">
        <v>FY25 inter</v>
      </c>
      <c r="AF77" s="409" t="str">
        <v>FY25 intra</v>
      </c>
      <c r="AG77" s="409" t="str">
        <v>D. Williams</v>
      </c>
      <c r="AH77" s="409">
        <v>44482</v>
      </c>
      <c r="AI77" s="409" t="str">
        <v>D. Tosi</v>
      </c>
      <c r="AJ77" s="409">
        <v>44482</v>
      </c>
      <c r="AK77" s="409" t="str">
        <v>Calibration devices for strings 89-93 = 3+1 Sweden Camera,7+1 + Acoustic Module,17 +1 POCAM, including spares, 200 lbs crate</v>
      </c>
      <c r="AL77" s="9"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ht="51" hidden="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35">
        <v>426</v>
      </c>
      <c r="P79" s="428">
        <v>44713</v>
      </c>
      <c r="Q79" s="429" t="str">
        <v>ChibaU - CHC</v>
      </c>
      <c r="R79" s="428">
        <v>45139</v>
      </c>
      <c r="S79" s="431" t="str">
        <v>Cargo shipment by CHU</v>
      </c>
      <c r="T79" s="431" t="str">
        <v>ChibaU - CHC</v>
      </c>
      <c r="U79" s="431" t="str">
        <v>-</v>
      </c>
      <c r="V79" s="433" t="str">
        <v>ComSur</v>
      </c>
      <c r="W79" s="76" t="str">
        <v>CHC - MCM</v>
      </c>
      <c r="X79" s="433" t="str">
        <v>-</v>
      </c>
      <c r="Y79" s="435" t="str">
        <v>USAP Air</v>
      </c>
      <c r="Z79" s="434">
        <v>45231</v>
      </c>
      <c r="AA79" s="427" t="str">
        <v>-</v>
      </c>
      <c r="AB79" s="435" t="str">
        <v>LC-130</v>
      </c>
      <c r="AC79" s="409">
        <v>45306</v>
      </c>
      <c r="AD79" s="409" t="str">
        <v>Yes</v>
      </c>
      <c r="AE79" s="409" t="str">
        <v>FY24 inter</v>
      </c>
      <c r="AF79" s="409" t="str">
        <v>FY24 intra</v>
      </c>
      <c r="AG79" s="409" t="str">
        <v>S. Yoshida</v>
      </c>
      <c r="AH79" s="409">
        <v>44461</v>
      </c>
      <c r="AI79" s="409" t="str">
        <v>D. Tosi</v>
      </c>
      <c r="AJ79" s="409">
        <v>44461</v>
      </c>
      <c r="AK79" s="409" t="str">
        <v>Pallet sizes are under review. shipped in 20 and 40ft container. Container weight not included in the assumption that pallet will be taken out in CHC.</v>
      </c>
      <c r="AL79" s="9" t="str">
        <v/>
      </c>
    </row>
    <row r="80" spans="1:40" ht="51" hidden="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35">
        <v>426</v>
      </c>
      <c r="P80" s="428">
        <v>44713</v>
      </c>
      <c r="Q80" s="429" t="str">
        <v>ChibaU - CHC</v>
      </c>
      <c r="R80" s="428">
        <v>45139</v>
      </c>
      <c r="S80" s="431" t="str">
        <v>Cargo shipment by CHU</v>
      </c>
      <c r="T80" s="431" t="str">
        <v>ChibaU - CHC</v>
      </c>
      <c r="U80" s="431" t="str">
        <v>-</v>
      </c>
      <c r="V80" s="433" t="str">
        <v>ComSur</v>
      </c>
      <c r="W80" s="76" t="str">
        <v>CHC - MCM</v>
      </c>
      <c r="X80" s="433" t="str">
        <v>-</v>
      </c>
      <c r="Y80" s="435" t="str">
        <v>USAP Air</v>
      </c>
      <c r="Z80" s="434">
        <v>45231</v>
      </c>
      <c r="AA80" s="427" t="str">
        <v>-</v>
      </c>
      <c r="AB80" s="435" t="str">
        <v>LC-130</v>
      </c>
      <c r="AC80" s="409">
        <v>45306</v>
      </c>
      <c r="AD80" s="409" t="str">
        <v>Yes</v>
      </c>
      <c r="AE80" s="409" t="str">
        <v>FY24 inter</v>
      </c>
      <c r="AF80" s="409" t="str">
        <v>FY24 intra</v>
      </c>
      <c r="AG80" s="409" t="str">
        <v>S. Yoshida</v>
      </c>
      <c r="AH80" s="409">
        <v>44461</v>
      </c>
      <c r="AI80" s="409" t="str">
        <v>D. Tosi</v>
      </c>
      <c r="AJ80" s="409">
        <v>44461</v>
      </c>
      <c r="AK80" s="409" t="str">
        <v>Pallet sizes are under review. SPARES number to be confirmed.  shipped in 20 and 40ft container. Container weight not included in the assumption that pallet will be taken out in CHC.</v>
      </c>
      <c r="AL80" s="9" t="str">
        <v/>
      </c>
    </row>
    <row r="81" spans="1:40" ht="51" hidden="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35">
        <v>426</v>
      </c>
      <c r="P81" s="428">
        <v>44713</v>
      </c>
      <c r="Q81" s="429" t="str">
        <v>ChibaU - CHC</v>
      </c>
      <c r="R81" s="428">
        <v>45139</v>
      </c>
      <c r="S81" s="431" t="str">
        <v>Cargo shipment by CHU</v>
      </c>
      <c r="T81" s="431" t="str">
        <v>ChibaU - CHC</v>
      </c>
      <c r="U81" s="431" t="str">
        <v>-</v>
      </c>
      <c r="V81" s="433" t="str">
        <v>ComSur</v>
      </c>
      <c r="W81" s="76" t="str">
        <v>CHC - MCM</v>
      </c>
      <c r="X81" s="433" t="str">
        <v>-</v>
      </c>
      <c r="Y81" s="435" t="str">
        <v>USAP Air</v>
      </c>
      <c r="Z81" s="434">
        <v>45231</v>
      </c>
      <c r="AA81" s="427" t="str">
        <v>-</v>
      </c>
      <c r="AB81" s="435" t="str">
        <v>LC-130</v>
      </c>
      <c r="AC81" s="409">
        <v>45306</v>
      </c>
      <c r="AD81" s="409" t="str">
        <v>Yes</v>
      </c>
      <c r="AE81" s="409" t="str">
        <v>FY24 inter</v>
      </c>
      <c r="AF81" s="409" t="str">
        <v>FY24 intra</v>
      </c>
      <c r="AG81" s="409" t="str">
        <v>S. Yoshida</v>
      </c>
      <c r="AH81" s="409">
        <v>44461</v>
      </c>
      <c r="AI81" s="409" t="str">
        <v>D. Tosi</v>
      </c>
      <c r="AJ81" s="409">
        <v>44461</v>
      </c>
      <c r="AK81" s="409" t="str">
        <v>Pallet sizes are under review. shipped in 20 and 40ft container. Container weight not included in the assumption that pallet will be taken out in CHC.</v>
      </c>
      <c r="AL81" s="9" t="str">
        <v/>
      </c>
    </row>
    <row r="82" spans="1:40" ht="51" hidden="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35">
        <v>426</v>
      </c>
      <c r="P82" s="428">
        <v>44713</v>
      </c>
      <c r="Q82" s="429" t="str">
        <v>ChibaU - CHC</v>
      </c>
      <c r="R82" s="428">
        <v>45139</v>
      </c>
      <c r="S82" s="431" t="str">
        <v>Cargo shipment by CHU</v>
      </c>
      <c r="T82" s="431" t="str">
        <v>ChibaU - CHC</v>
      </c>
      <c r="U82" s="431" t="str">
        <v>-</v>
      </c>
      <c r="V82" s="433" t="str">
        <v>ComSur</v>
      </c>
      <c r="W82" s="76" t="str">
        <v>CHC - MCM</v>
      </c>
      <c r="X82" s="433" t="str">
        <v>-</v>
      </c>
      <c r="Y82" s="435" t="str">
        <v>USAP Air</v>
      </c>
      <c r="Z82" s="434">
        <v>45231</v>
      </c>
      <c r="AA82" s="427" t="str">
        <v>-</v>
      </c>
      <c r="AB82" s="435" t="str">
        <v>LC-130</v>
      </c>
      <c r="AC82" s="409">
        <v>45306</v>
      </c>
      <c r="AD82" s="409" t="str">
        <v>Yes</v>
      </c>
      <c r="AE82" s="409" t="str">
        <v>FY24 inter</v>
      </c>
      <c r="AF82" s="409" t="str">
        <v>FY24 intra</v>
      </c>
      <c r="AG82" s="409" t="str">
        <v>S. Yoshida</v>
      </c>
      <c r="AH82" s="409">
        <v>44461</v>
      </c>
      <c r="AI82" s="409" t="str">
        <v>D. Tosi</v>
      </c>
      <c r="AJ82" s="409">
        <v>44461</v>
      </c>
      <c r="AK82" s="409" t="str">
        <v>Pallet sizes are under review. SPARES number to be confirmed. shipped in 20 and 40ft container. Container weight not included in the assumption that pallet will be taken out in CHC.</v>
      </c>
      <c r="AL82" s="9" t="str">
        <v/>
      </c>
    </row>
    <row r="83" spans="1:40" ht="51" hidden="1">
      <c r="A83" s="72">
        <v>1.3</v>
      </c>
      <c r="B83" s="48" t="str">
        <v>Installation</v>
      </c>
      <c r="C83" s="1" t="str">
        <v>String Sensors 89-93</v>
      </c>
      <c r="D83" s="1" t="str">
        <v>Sensors (D-Eggs) pallets with 8 sensors in McMurdo overwinter - Do Not Deep Freeze</v>
      </c>
      <c r="E83" s="38">
        <v>41</v>
      </c>
      <c r="F83" s="38">
        <v>41</v>
      </c>
      <c r="G83" s="38">
        <v>69</v>
      </c>
      <c r="H83" s="38">
        <v>10</v>
      </c>
      <c r="I83" s="4">
        <v>671.23263888888891</v>
      </c>
      <c r="J83" s="4">
        <v>750</v>
      </c>
      <c r="K83" s="4">
        <v>7500</v>
      </c>
      <c r="L83" s="445" t="str">
        <v>actual</v>
      </c>
      <c r="M83" s="6" t="str">
        <v>DNDF [-40C]</v>
      </c>
      <c r="N83" s="10" t="str">
        <v>Chiba</v>
      </c>
      <c r="O83" s="435">
        <v>61</v>
      </c>
      <c r="P83" s="428">
        <v>45078</v>
      </c>
      <c r="Q83" s="429" t="str">
        <v>ChibaU - CHC</v>
      </c>
      <c r="R83" s="428">
        <v>45139</v>
      </c>
      <c r="S83" s="431" t="str">
        <v>Cargo shipment by CHU</v>
      </c>
      <c r="T83" s="431" t="str">
        <v>ChibaU - CHC</v>
      </c>
      <c r="U83" s="431" t="str">
        <v>-</v>
      </c>
      <c r="V83" s="433" t="str">
        <v>ComSur</v>
      </c>
      <c r="W83" s="76" t="str">
        <v>CHC - MCM</v>
      </c>
      <c r="X83" s="433" t="str">
        <v>-</v>
      </c>
      <c r="Y83" s="435" t="str">
        <v>USAP Air</v>
      </c>
      <c r="Z83" s="434">
        <v>45597</v>
      </c>
      <c r="AA83" s="427" t="str">
        <v>-</v>
      </c>
      <c r="AB83" s="435" t="str">
        <v>LC-130</v>
      </c>
      <c r="AC83" s="409">
        <v>45621</v>
      </c>
      <c r="AD83" s="409" t="str">
        <v>Yes</v>
      </c>
      <c r="AE83" s="409" t="str">
        <v>FY25 inter</v>
      </c>
      <c r="AF83" s="409" t="str">
        <v>FY25 intra</v>
      </c>
      <c r="AG83" s="409" t="str">
        <v>S. Yoshida</v>
      </c>
      <c r="AH83" s="409">
        <v>44461</v>
      </c>
      <c r="AI83" s="409" t="str">
        <v>D. Tosi</v>
      </c>
      <c r="AJ83" s="409">
        <v>44461</v>
      </c>
      <c r="AK83" s="409" t="str">
        <v>Pallet sizes are under review. shipped in 20 and 40ft container. Container weight not included in the assumption that pallet will be taken out in CHC.</v>
      </c>
      <c r="AL83" s="9" t="str">
        <v/>
      </c>
    </row>
    <row r="84" spans="1:40" ht="51" hidden="1">
      <c r="A84" s="72">
        <v>1.3</v>
      </c>
      <c r="B84" s="48" t="str">
        <v>Installation</v>
      </c>
      <c r="C84" s="1" t="str">
        <v>String Sensors 89-93</v>
      </c>
      <c r="D84" s="1" t="str">
        <v>Sensors (D-Eggs) pallets with 12 sensors  in McMurdo overwinter - Do Not Deep Freeze</v>
      </c>
      <c r="E84" s="38">
        <v>60</v>
      </c>
      <c r="F84" s="38">
        <v>41</v>
      </c>
      <c r="G84" s="38">
        <v>69</v>
      </c>
      <c r="H84" s="38">
        <v>10</v>
      </c>
      <c r="I84" s="4">
        <v>982.29166666666674</v>
      </c>
      <c r="J84" s="4">
        <v>1102</v>
      </c>
      <c r="K84" s="4">
        <v>11020</v>
      </c>
      <c r="L84" s="445" t="str">
        <v>actual</v>
      </c>
      <c r="M84" s="6" t="str">
        <v>DNDF [-40C]</v>
      </c>
      <c r="N84" s="10" t="str">
        <v>Chiba</v>
      </c>
      <c r="O84" s="435">
        <v>61</v>
      </c>
      <c r="P84" s="428">
        <v>45078</v>
      </c>
      <c r="Q84" s="429" t="str">
        <v>ChibaU - CHC</v>
      </c>
      <c r="R84" s="428">
        <v>45139</v>
      </c>
      <c r="S84" s="431" t="str">
        <v>Cargo shipment by CHU</v>
      </c>
      <c r="T84" s="431" t="str">
        <v>ChibaU - CHC</v>
      </c>
      <c r="U84" s="431" t="str">
        <v>-</v>
      </c>
      <c r="V84" s="433" t="str">
        <v>ComSur</v>
      </c>
      <c r="W84" s="76" t="str">
        <v>CHC - MCM</v>
      </c>
      <c r="X84" s="433" t="str">
        <v>-</v>
      </c>
      <c r="Y84" s="435" t="str">
        <v>USAP Air</v>
      </c>
      <c r="Z84" s="434">
        <v>45597</v>
      </c>
      <c r="AA84" s="427" t="str">
        <v>-</v>
      </c>
      <c r="AB84" s="435" t="str">
        <v>LC-130</v>
      </c>
      <c r="AC84" s="409">
        <v>45621</v>
      </c>
      <c r="AD84" s="409" t="str">
        <v>Yes</v>
      </c>
      <c r="AE84" s="409" t="str">
        <v>FY25 inter</v>
      </c>
      <c r="AF84" s="409" t="str">
        <v>FY25 intra</v>
      </c>
      <c r="AG84" s="409" t="str">
        <v>S. Yoshida</v>
      </c>
      <c r="AH84" s="409">
        <v>44461</v>
      </c>
      <c r="AI84" s="409" t="str">
        <v>D. Tosi</v>
      </c>
      <c r="AJ84" s="409">
        <v>44461</v>
      </c>
      <c r="AK84" s="409" t="str">
        <v>Pallet sizes are under review. shipped in 20 and 40ft container. Container weight not included in the assumption that pallet will be taken out in CHC.</v>
      </c>
      <c r="AL84" s="9"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ht="17.100000000000001" hidden="1">
      <c r="A86" s="72">
        <v>1.2</v>
      </c>
      <c r="B86" s="48" t="str">
        <v>Fuel</v>
      </c>
      <c r="C86" s="1" t="str">
        <v>Field Season 1 Fuel</v>
      </c>
      <c r="D86" s="1" t="str">
        <v>Fuel to support FY23 field season - Base fuel</v>
      </c>
      <c r="E86" s="38" t="str">
        <v/>
      </c>
      <c r="F86" s="38" t="str">
        <v/>
      </c>
      <c r="G86" s="38" t="str">
        <v/>
      </c>
      <c r="H86" s="38">
        <v>3191</v>
      </c>
      <c r="I86" s="61">
        <v>426.57462315454006</v>
      </c>
      <c r="J86" s="61">
        <v>6.8</v>
      </c>
      <c r="K86" s="4">
        <v>21698.799999999999</v>
      </c>
      <c r="L86" s="103" t="str">
        <v>preliminary</v>
      </c>
      <c r="M86" s="40" t="str">
        <v/>
      </c>
      <c r="N86" s="10" t="str">
        <v/>
      </c>
      <c r="O86" s="435" t="str">
        <v/>
      </c>
      <c r="P86" s="428" t="str">
        <v>-</v>
      </c>
      <c r="Q86" s="429" t="str">
        <v>-</v>
      </c>
      <c r="R86" s="428" t="str">
        <v>-</v>
      </c>
      <c r="S86" s="431" t="str">
        <v>-</v>
      </c>
      <c r="T86" s="431" t="str">
        <v>-</v>
      </c>
      <c r="U86" s="431" t="str">
        <v>-</v>
      </c>
      <c r="V86" s="433" t="str">
        <v>-</v>
      </c>
      <c r="W86" s="76" t="str">
        <v>-</v>
      </c>
      <c r="X86" s="433" t="str">
        <v>-</v>
      </c>
      <c r="Y86" s="435" t="str">
        <v>-</v>
      </c>
      <c r="Z86" s="434">
        <v>44866</v>
      </c>
      <c r="AA86" s="427" t="str">
        <v>-</v>
      </c>
      <c r="AB86" s="435" t="str">
        <v>LC-130/SPoT</v>
      </c>
      <c r="AC86" s="409">
        <v>44896</v>
      </c>
      <c r="AD86" s="409" t="str">
        <v>Yes</v>
      </c>
      <c r="AE86" s="409" t="str">
        <v>FY23 inter</v>
      </c>
      <c r="AF86" s="409" t="str">
        <v>FY23 intra</v>
      </c>
      <c r="AG86" s="409" t="str">
        <v>T. Benson</v>
      </c>
      <c r="AH86" s="409">
        <v>44483</v>
      </c>
      <c r="AI86" s="409" t="str">
        <v>I. McEwen</v>
      </c>
      <c r="AJ86" s="409">
        <v>44483</v>
      </c>
      <c r="AK86" s="409" t="str">
        <v/>
      </c>
      <c r="AL86" s="9" t="str">
        <v/>
      </c>
    </row>
    <row r="87" spans="1:40" ht="17.100000000000001" hidden="1">
      <c r="A87" s="72">
        <v>1.2</v>
      </c>
      <c r="B87" s="48" t="str">
        <v/>
      </c>
      <c r="C87" s="1" t="str">
        <v>Field Season 1 Fuel Contingency</v>
      </c>
      <c r="D87" s="1" t="str">
        <v>Fuel to support FY23 field season - Contingency</v>
      </c>
      <c r="E87" s="38" t="str">
        <v/>
      </c>
      <c r="F87" s="38" t="str">
        <v/>
      </c>
      <c r="G87" s="38" t="str">
        <v/>
      </c>
      <c r="H87" s="4">
        <v>452</v>
      </c>
      <c r="I87" s="61">
        <v>60.423606915027293</v>
      </c>
      <c r="J87" s="61">
        <v>6.8</v>
      </c>
      <c r="K87" s="4">
        <v>3073.6</v>
      </c>
      <c r="L87" s="103" t="str">
        <v>preliminary</v>
      </c>
      <c r="M87" s="40" t="str">
        <v/>
      </c>
      <c r="N87" s="10" t="str">
        <v/>
      </c>
      <c r="O87" s="435" t="str">
        <v/>
      </c>
      <c r="P87" s="428" t="str">
        <v>-</v>
      </c>
      <c r="Q87" s="429" t="str">
        <v>-</v>
      </c>
      <c r="R87" s="428" t="str">
        <v>-</v>
      </c>
      <c r="S87" s="431" t="str">
        <v>-</v>
      </c>
      <c r="T87" s="431" t="str">
        <v>-</v>
      </c>
      <c r="U87" s="431" t="str">
        <v>-</v>
      </c>
      <c r="V87" s="433" t="str">
        <v>-</v>
      </c>
      <c r="W87" s="76" t="str">
        <v>-</v>
      </c>
      <c r="X87" s="433" t="str">
        <v>-</v>
      </c>
      <c r="Y87" s="435" t="str">
        <v>-</v>
      </c>
      <c r="Z87" s="434">
        <v>44866</v>
      </c>
      <c r="AA87" s="427" t="str">
        <v>-</v>
      </c>
      <c r="AB87" s="435" t="str">
        <v>LC-130/SPoT</v>
      </c>
      <c r="AC87" s="409">
        <v>44896</v>
      </c>
      <c r="AD87" s="409" t="str">
        <v>Yes</v>
      </c>
      <c r="AE87" s="409" t="str">
        <v>FY23 inter</v>
      </c>
      <c r="AF87" s="409" t="str">
        <v>FY23 intra</v>
      </c>
      <c r="AG87" s="409" t="str">
        <v>T. Benson</v>
      </c>
      <c r="AH87" s="409">
        <v>44483</v>
      </c>
      <c r="AI87" s="409" t="str">
        <v>I. McEwen</v>
      </c>
      <c r="AJ87" s="409">
        <v>44483</v>
      </c>
      <c r="AK87" s="409" t="str">
        <v/>
      </c>
      <c r="AL87" s="9" t="str">
        <v/>
      </c>
    </row>
    <row r="88" spans="1:40" ht="17.100000000000001" hidden="1">
      <c r="A88" s="72">
        <v>1.2</v>
      </c>
      <c r="B88" s="48" t="str">
        <v/>
      </c>
      <c r="C88" s="1" t="str">
        <v>Field Season 2 Fuel</v>
      </c>
      <c r="D88" s="1" t="str">
        <v>Fuel to support FY24 field season - Base fuel, firn drilling &amp; over winter heating</v>
      </c>
      <c r="E88" s="38" t="str">
        <v/>
      </c>
      <c r="F88" s="38" t="str">
        <v/>
      </c>
      <c r="G88" s="38" t="str">
        <v/>
      </c>
      <c r="H88" s="40">
        <v>18178</v>
      </c>
      <c r="I88" s="61">
        <v>2430.0449701357657</v>
      </c>
      <c r="J88" s="61">
        <v>6.8</v>
      </c>
      <c r="K88" s="4">
        <v>123610.4</v>
      </c>
      <c r="L88" s="103" t="str">
        <v>preliminary</v>
      </c>
      <c r="M88" s="40" t="str">
        <v/>
      </c>
      <c r="N88" s="10" t="str">
        <v/>
      </c>
      <c r="O88" s="435" t="str">
        <v/>
      </c>
      <c r="P88" s="428" t="str">
        <v>-</v>
      </c>
      <c r="Q88" s="429" t="str">
        <v>-</v>
      </c>
      <c r="R88" s="428" t="str">
        <v>-</v>
      </c>
      <c r="S88" s="431" t="str">
        <v>-</v>
      </c>
      <c r="T88" s="431" t="str">
        <v>-</v>
      </c>
      <c r="U88" s="431" t="str">
        <v>-</v>
      </c>
      <c r="V88" s="433" t="str">
        <v>-</v>
      </c>
      <c r="W88" s="76" t="str">
        <v>-</v>
      </c>
      <c r="X88" s="433" t="str">
        <v>-</v>
      </c>
      <c r="Y88" s="435" t="str">
        <v>-</v>
      </c>
      <c r="Z88" s="434">
        <v>45231</v>
      </c>
      <c r="AA88" s="427" t="str">
        <v>-</v>
      </c>
      <c r="AB88" s="435" t="str">
        <v>LC-130/SPoT</v>
      </c>
      <c r="AC88" s="409">
        <v>45261</v>
      </c>
      <c r="AD88" s="409" t="str">
        <v>Yes</v>
      </c>
      <c r="AE88" s="409" t="str">
        <v>FY24 inter</v>
      </c>
      <c r="AF88" s="409" t="str">
        <v>FY24 intra</v>
      </c>
      <c r="AG88" s="409" t="str">
        <v>T. Benson</v>
      </c>
      <c r="AH88" s="409">
        <v>44483</v>
      </c>
      <c r="AI88" s="409" t="str">
        <v>I. McEwen</v>
      </c>
      <c r="AJ88" s="409">
        <v>44483</v>
      </c>
      <c r="AK88" s="409" t="str">
        <v/>
      </c>
      <c r="AL88" s="9" t="str">
        <v/>
      </c>
    </row>
    <row r="89" spans="1:40" s="91" customFormat="1" ht="21" hidden="1" customHeight="1" thickBot="1">
      <c r="A89" s="53">
        <v>1.2</v>
      </c>
      <c r="B89" s="53" t="str">
        <v/>
      </c>
      <c r="C89" s="54" t="str">
        <v>Field Season 2 Fuel Contingency</v>
      </c>
      <c r="D89" s="55" t="str">
        <v>Fuel to suppport FY24 field season - Contingency</v>
      </c>
      <c r="E89" s="44" t="str">
        <v/>
      </c>
      <c r="F89" s="44" t="str">
        <v/>
      </c>
      <c r="G89" s="44" t="str">
        <v/>
      </c>
      <c r="H89" s="56">
        <v>2373</v>
      </c>
      <c r="I89" s="57">
        <v>317.22393630389331</v>
      </c>
      <c r="J89" s="57">
        <v>6.8</v>
      </c>
      <c r="K89" s="58">
        <v>16136.4</v>
      </c>
      <c r="L89" s="58" t="str">
        <v>preliminary</v>
      </c>
      <c r="M89" s="58" t="str">
        <v/>
      </c>
      <c r="N89" s="58" t="str">
        <v/>
      </c>
      <c r="O89" s="77" t="str">
        <v/>
      </c>
      <c r="P89" s="59" t="str">
        <v>-</v>
      </c>
      <c r="Q89" s="77" t="str">
        <v>-</v>
      </c>
      <c r="R89" s="60" t="str">
        <v>-</v>
      </c>
      <c r="S89" s="59" t="str">
        <v>-</v>
      </c>
      <c r="T89" s="60" t="str">
        <v>-</v>
      </c>
      <c r="U89" s="60" t="str">
        <v>-</v>
      </c>
      <c r="V89" s="59" t="str">
        <v>-</v>
      </c>
      <c r="W89" s="60" t="str">
        <v>-</v>
      </c>
      <c r="X89" s="60" t="str">
        <v>-</v>
      </c>
      <c r="Y89" s="77" t="str">
        <v>-</v>
      </c>
      <c r="Z89" s="60">
        <v>45231</v>
      </c>
      <c r="AA89" s="60" t="str">
        <v>-</v>
      </c>
      <c r="AB89" s="77" t="str">
        <v>LC-130/SPoT</v>
      </c>
      <c r="AC89" s="59">
        <v>45261</v>
      </c>
      <c r="AD89" s="59" t="str">
        <v>Yes</v>
      </c>
      <c r="AE89" s="59" t="str">
        <v>FY24 inter</v>
      </c>
      <c r="AF89" s="59" t="str">
        <v>FY24 intra</v>
      </c>
      <c r="AG89" s="59" t="str">
        <v>T. Benson</v>
      </c>
      <c r="AH89" s="59">
        <v>44483</v>
      </c>
      <c r="AI89" s="59" t="str">
        <v>I. McEwen</v>
      </c>
      <c r="AJ89" s="59">
        <v>44483</v>
      </c>
      <c r="AK89" s="59" t="str">
        <v/>
      </c>
      <c r="AL89" s="11" t="str">
        <v/>
      </c>
      <c r="AM89" s="11"/>
      <c r="AN89" s="11"/>
    </row>
    <row r="90" spans="1:40" ht="23.1" hidden="1" customHeight="1" thickTop="1">
      <c r="A90" s="25">
        <v>1.2</v>
      </c>
      <c r="B90" s="25" t="str">
        <v/>
      </c>
      <c r="C90" s="3" t="str">
        <v>Field Season 3 Fuel</v>
      </c>
      <c r="D90" s="42" t="str">
        <v>Fuel to support FY25 field season - Base fuel &amp; deep drilling</v>
      </c>
      <c r="E90" s="43" t="str">
        <v/>
      </c>
      <c r="F90" s="43" t="str">
        <v/>
      </c>
      <c r="G90" s="44" t="str">
        <v/>
      </c>
      <c r="H90" s="45">
        <v>62694</v>
      </c>
      <c r="I90" s="46">
        <v>8380.9681679883215</v>
      </c>
      <c r="J90" s="46">
        <v>6.8</v>
      </c>
      <c r="K90" s="46">
        <v>426319.2</v>
      </c>
      <c r="L90" s="104" t="str">
        <v>preliminary</v>
      </c>
      <c r="M90" s="46" t="str">
        <v/>
      </c>
      <c r="N90" s="427" t="str">
        <v/>
      </c>
      <c r="O90" s="435" t="str">
        <v/>
      </c>
      <c r="P90" s="427" t="str">
        <v>-</v>
      </c>
      <c r="Q90" s="435" t="str">
        <v>-</v>
      </c>
      <c r="R90" s="427" t="str">
        <v>-</v>
      </c>
      <c r="S90" s="427" t="str">
        <v>-</v>
      </c>
      <c r="T90" s="427" t="str">
        <v>-</v>
      </c>
      <c r="U90" s="427" t="str">
        <v>-</v>
      </c>
      <c r="V90" s="427" t="str">
        <v>-</v>
      </c>
      <c r="W90" s="427" t="str">
        <v>-</v>
      </c>
      <c r="X90" s="427" t="str">
        <v>-</v>
      </c>
      <c r="Y90" s="435" t="str">
        <v>-</v>
      </c>
      <c r="Z90" s="434">
        <v>45597</v>
      </c>
      <c r="AA90" s="427" t="str">
        <v>-</v>
      </c>
      <c r="AB90" s="435" t="str">
        <v>LC-130/SPoT</v>
      </c>
      <c r="AC90" s="427">
        <v>45627</v>
      </c>
      <c r="AD90" s="427" t="str">
        <v>Yes</v>
      </c>
      <c r="AE90" s="427" t="str">
        <v>FY25 inter</v>
      </c>
      <c r="AF90" s="427" t="str">
        <v>FY25 intra</v>
      </c>
      <c r="AG90" s="427" t="str">
        <v>T. Benson</v>
      </c>
      <c r="AH90" s="427">
        <v>44483</v>
      </c>
      <c r="AI90" s="427" t="str">
        <v>I. McEwen</v>
      </c>
      <c r="AJ90" s="427">
        <v>44483</v>
      </c>
      <c r="AK90" s="427" t="str">
        <v/>
      </c>
      <c r="AL90" s="9" t="str">
        <v/>
      </c>
    </row>
    <row r="91" spans="1:40" ht="15.95" hidden="1">
      <c r="A91" s="2">
        <v>1.2</v>
      </c>
      <c r="B91" s="2" t="str">
        <v/>
      </c>
      <c r="C91" s="15" t="str">
        <v>Field Season 3 Fuel Contingency</v>
      </c>
      <c r="D91" s="15" t="str">
        <v>Fuel to suppport FY25 field season - Contingency</v>
      </c>
      <c r="E91" s="9" t="str">
        <v/>
      </c>
      <c r="F91" s="9" t="str">
        <v/>
      </c>
      <c r="G91" s="9" t="str">
        <v/>
      </c>
      <c r="H91" s="9">
        <v>8473</v>
      </c>
      <c r="I91" s="9">
        <v>1132.6752685642175</v>
      </c>
      <c r="J91" s="9">
        <v>6.8</v>
      </c>
      <c r="K91" s="9">
        <v>57616.4</v>
      </c>
      <c r="L91" s="74" t="str">
        <v>preliminary</v>
      </c>
      <c r="M91" s="9" t="str">
        <v/>
      </c>
      <c r="N91" s="9" t="str">
        <v/>
      </c>
      <c r="O91" s="80" t="str">
        <v/>
      </c>
      <c r="P91" s="9" t="str">
        <v>-</v>
      </c>
      <c r="Q91" s="80" t="str">
        <v>-</v>
      </c>
      <c r="R91" s="9" t="str">
        <v>-</v>
      </c>
      <c r="S91" s="9" t="str">
        <v>-</v>
      </c>
      <c r="T91" s="9" t="str">
        <v>-</v>
      </c>
      <c r="U91" s="9" t="str">
        <v>-</v>
      </c>
      <c r="V91" s="9" t="str">
        <v>-</v>
      </c>
      <c r="W91" s="9" t="str">
        <v>-</v>
      </c>
      <c r="X91" s="9" t="str">
        <v>-</v>
      </c>
      <c r="Y91" s="80" t="str">
        <v>-</v>
      </c>
      <c r="Z91" s="9">
        <v>45597</v>
      </c>
      <c r="AA91" s="9" t="str">
        <v>-</v>
      </c>
      <c r="AB91" s="80" t="str">
        <v>LC-130/SPoT</v>
      </c>
      <c r="AC91" s="9">
        <v>45627</v>
      </c>
      <c r="AD91" s="9" t="str">
        <v>Yes</v>
      </c>
      <c r="AE91" s="9" t="str">
        <v>FY25 inter</v>
      </c>
      <c r="AF91" s="9" t="str">
        <v>FY25 intra</v>
      </c>
      <c r="AG91" s="9" t="str">
        <v>T. Benson</v>
      </c>
      <c r="AH91" s="9">
        <v>44483</v>
      </c>
      <c r="AI91" s="9" t="str">
        <v>I. McEwen</v>
      </c>
      <c r="AJ91" s="9">
        <v>44483</v>
      </c>
      <c r="AK91" s="9" t="str">
        <v/>
      </c>
      <c r="AL91" s="9" t="str">
        <v/>
      </c>
    </row>
    <row r="92" spans="1:40" ht="15.95" hidden="1">
      <c r="A92" s="9" t="str">
        <v/>
      </c>
      <c r="B92" s="9" t="str">
        <v/>
      </c>
      <c r="C92" s="16" t="str">
        <v>Fuel Totals:</v>
      </c>
      <c r="D92" s="16" t="str">
        <v/>
      </c>
      <c r="E92" s="9" t="str">
        <v/>
      </c>
      <c r="F92" s="9" t="str">
        <v/>
      </c>
      <c r="G92" s="9" t="str">
        <v>TEU=&gt;</v>
      </c>
      <c r="H92" s="9">
        <v>13.39066236666152</v>
      </c>
      <c r="I92" s="9">
        <v>12747.910573061765</v>
      </c>
      <c r="J92" s="9" t="str">
        <v/>
      </c>
      <c r="K92" s="9">
        <v>648454.80000000005</v>
      </c>
      <c r="L92" s="74" t="str">
        <v/>
      </c>
      <c r="M92" s="9" t="str">
        <v/>
      </c>
      <c r="N92" s="9" t="str">
        <v/>
      </c>
      <c r="O92" s="80" t="str">
        <v/>
      </c>
      <c r="P92" s="9" t="str">
        <v/>
      </c>
      <c r="Q92" s="80" t="str">
        <v/>
      </c>
      <c r="R92" s="9" t="str">
        <v/>
      </c>
      <c r="S92" s="9" t="str">
        <v/>
      </c>
      <c r="T92" s="9" t="str">
        <v/>
      </c>
      <c r="U92" s="9" t="str">
        <v/>
      </c>
      <c r="V92" s="9" t="str">
        <v/>
      </c>
      <c r="W92" s="9" t="str">
        <v/>
      </c>
      <c r="X92" s="9" t="str">
        <v/>
      </c>
      <c r="Y92" s="80" t="str">
        <v/>
      </c>
      <c r="Z92" s="9" t="str">
        <v/>
      </c>
      <c r="AA92" s="9" t="str">
        <v/>
      </c>
      <c r="AB92" s="80" t="str">
        <v/>
      </c>
      <c r="AC92" s="9" t="str">
        <v/>
      </c>
      <c r="AD92" s="9" t="str">
        <v/>
      </c>
      <c r="AE92" s="9" t="str">
        <v/>
      </c>
      <c r="AF92" s="9" t="str">
        <v/>
      </c>
      <c r="AG92" s="9" t="str">
        <v/>
      </c>
      <c r="AH92" s="9" t="str">
        <v/>
      </c>
      <c r="AI92" s="9" t="str">
        <v/>
      </c>
      <c r="AJ92" s="9" t="str">
        <v/>
      </c>
      <c r="AK92" s="9" t="str">
        <v/>
      </c>
      <c r="AL92" s="9" t="str">
        <v/>
      </c>
    </row>
    <row r="93" spans="1:40" ht="15.95" hidden="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6"/>
      <c r="D94" s="16"/>
      <c r="Z94" s="80"/>
    </row>
    <row r="95" spans="1:40">
      <c r="C95" s="16"/>
      <c r="D95" s="16"/>
      <c r="Z95" s="80"/>
    </row>
    <row r="96" spans="1:40">
      <c r="C96" s="16"/>
      <c r="D96" s="16"/>
      <c r="Z96" s="80"/>
    </row>
    <row r="97" spans="1:26">
      <c r="C97" s="16"/>
      <c r="D97" s="16"/>
      <c r="Z97" s="80"/>
    </row>
    <row r="98" spans="1:26">
      <c r="C98" s="16"/>
      <c r="D98" s="16"/>
      <c r="Z98" s="80"/>
    </row>
    <row r="99" spans="1:26">
      <c r="C99" s="16"/>
      <c r="D99" s="16"/>
      <c r="Z99" s="80"/>
    </row>
    <row r="100" spans="1:26">
      <c r="C100" s="16"/>
      <c r="D100" s="16"/>
      <c r="Z100" s="80"/>
    </row>
    <row r="101" spans="1:26">
      <c r="C101" s="16"/>
      <c r="D101" s="16"/>
      <c r="Z101" s="80"/>
    </row>
    <row r="102" spans="1:26">
      <c r="A102" s="2"/>
      <c r="B102" s="2"/>
      <c r="C102" s="16"/>
      <c r="D102" s="16"/>
      <c r="I102" s="75"/>
      <c r="J102" s="75"/>
      <c r="K102" s="75"/>
      <c r="L102" s="105"/>
      <c r="Z102" s="80"/>
    </row>
    <row r="103" spans="1:26">
      <c r="A103" s="2"/>
      <c r="B103" s="2"/>
      <c r="C103" s="16"/>
      <c r="D103" s="16"/>
      <c r="Z103" s="80"/>
    </row>
    <row r="104" spans="1:26">
      <c r="Z104" s="80"/>
    </row>
    <row r="105" spans="1:26">
      <c r="C105" s="16"/>
      <c r="D105" s="16"/>
      <c r="Z105" s="80"/>
    </row>
    <row r="106" spans="1:26">
      <c r="C106" s="16"/>
      <c r="D106" s="16"/>
      <c r="Z106" s="80"/>
    </row>
    <row r="107" spans="1:26">
      <c r="C107" s="16"/>
      <c r="D107" s="16"/>
      <c r="Z107" s="80"/>
    </row>
    <row r="108" spans="1:26">
      <c r="Z108" s="80"/>
    </row>
    <row r="109" spans="1:26">
      <c r="C109" s="16"/>
      <c r="D109" s="16"/>
      <c r="Z109" s="80"/>
    </row>
    <row r="110" spans="1:26">
      <c r="C110" s="16"/>
      <c r="D110" s="16"/>
      <c r="Z110" s="80"/>
    </row>
    <row r="111" spans="1:26">
      <c r="Z111" s="80"/>
    </row>
    <row r="112" spans="1:26">
      <c r="L112" s="106"/>
      <c r="Z112" s="80"/>
    </row>
    <row r="113" spans="1:26">
      <c r="D113" s="73"/>
      <c r="Z113" s="80"/>
    </row>
    <row r="114" spans="1:26" ht="15.95" thickBot="1">
      <c r="D114" s="73"/>
      <c r="Z114" s="80"/>
    </row>
    <row r="115" spans="1:26" ht="15.95" customHeight="1">
      <c r="A115" s="416"/>
      <c r="B115" s="417"/>
      <c r="C115" s="81" t="s">
        <v>475</v>
      </c>
      <c r="D115" s="82" t="s">
        <v>476</v>
      </c>
      <c r="Z115" s="80"/>
    </row>
    <row r="116" spans="1:26" ht="32.1" customHeight="1">
      <c r="A116" s="414" t="s">
        <v>477</v>
      </c>
      <c r="B116" s="415"/>
      <c r="C116" s="84">
        <f>SUBTOTAL(9,I2:I100)</f>
        <v>7246.5740740740748</v>
      </c>
      <c r="D116" s="85">
        <f>SUBTOTAL(9,K2:K100)</f>
        <v>73515</v>
      </c>
      <c r="E116" s="90"/>
      <c r="Z116" s="80"/>
    </row>
    <row r="117" spans="1:26" ht="33" customHeight="1" thickBot="1">
      <c r="A117" s="412" t="s">
        <v>478</v>
      </c>
      <c r="B117" s="413"/>
      <c r="C117" s="86">
        <f>SUMIFS(volume,mcMurdo_date,"&gt;="&amp;$A$120,mcMurdo_date,"&lt;="&amp;$B$120)</f>
        <v>7246.5740740740748</v>
      </c>
      <c r="D117" s="87">
        <f>SUMIFS(weight_,mcMurdo_date,"&gt;="&amp;A$120,mcMurdo_date,"&lt;="&amp;$B$120)</f>
        <v>73515</v>
      </c>
      <c r="J117" s="90"/>
      <c r="U117" s="90"/>
      <c r="Z117" s="80"/>
    </row>
    <row r="118" spans="1:26" ht="15.95" thickBot="1">
      <c r="D118" s="73"/>
      <c r="Z118" s="80"/>
    </row>
    <row r="119" spans="1:26" ht="15" customHeight="1">
      <c r="A119" s="111" t="s">
        <v>479</v>
      </c>
      <c r="B119" s="81" t="s">
        <v>480</v>
      </c>
      <c r="C119" s="81"/>
      <c r="D119" s="82"/>
      <c r="Z119" s="80"/>
    </row>
    <row r="120" spans="1:26" ht="15" customHeight="1">
      <c r="A120" s="109">
        <f>'ICU_cargo MASTER INPUT SHEET'!A127</f>
        <v>44470</v>
      </c>
      <c r="B120" s="108">
        <f>'ICU_cargo MASTER INPUT SHEET'!B127</f>
        <v>44834</v>
      </c>
      <c r="D120" s="85"/>
      <c r="Z120" s="80"/>
    </row>
    <row r="121" spans="1:26" ht="15.95" thickBot="1">
      <c r="A121" s="412"/>
      <c r="B121" s="413"/>
      <c r="C121" s="86"/>
      <c r="D121" s="87"/>
      <c r="Z121" s="80"/>
    </row>
    <row r="122" spans="1:26">
      <c r="Z122" s="80"/>
    </row>
    <row r="123" spans="1:26">
      <c r="Z123" s="80"/>
    </row>
    <row r="124" spans="1:26" ht="15.95">
      <c r="A124" s="102"/>
      <c r="B124" s="102"/>
      <c r="C124" s="101"/>
      <c r="D124" s="101"/>
      <c r="Z124" s="80"/>
    </row>
    <row r="125" spans="1:26" ht="15.95">
      <c r="A125" s="102"/>
      <c r="B125" s="102"/>
      <c r="C125" s="101"/>
      <c r="D125" s="101"/>
      <c r="Z125" s="80"/>
    </row>
    <row r="126" spans="1:26" ht="15.95">
      <c r="A126" s="102"/>
      <c r="B126" s="102"/>
      <c r="C126" s="101"/>
      <c r="D126" s="101"/>
      <c r="Z126" s="80"/>
    </row>
    <row r="127" spans="1:26" ht="15.95">
      <c r="A127" s="102"/>
      <c r="B127" s="102"/>
      <c r="C127" s="101"/>
      <c r="D127" s="101"/>
      <c r="Z127" s="80"/>
    </row>
    <row r="128" spans="1:26">
      <c r="Z128" s="80"/>
    </row>
    <row r="129" spans="26:26">
      <c r="Z129" s="80"/>
    </row>
    <row r="130" spans="26:26">
      <c r="Z130" s="80"/>
    </row>
    <row r="131" spans="26:26">
      <c r="Z131" s="80"/>
    </row>
    <row r="132" spans="26:26">
      <c r="Z132" s="80"/>
    </row>
    <row r="133" spans="26:26">
      <c r="Z133" s="80"/>
    </row>
    <row r="134" spans="26:26">
      <c r="Z134" s="80"/>
    </row>
    <row r="135" spans="26:26">
      <c r="Z135" s="80"/>
    </row>
    <row r="136" spans="26:26">
      <c r="Z136" s="80"/>
    </row>
    <row r="137" spans="26:26">
      <c r="Z137" s="80"/>
    </row>
    <row r="138" spans="26:26">
      <c r="Z138" s="80"/>
    </row>
    <row r="139" spans="26:26">
      <c r="Z139" s="80"/>
    </row>
    <row r="140" spans="26:26">
      <c r="Z140" s="80"/>
    </row>
    <row r="141" spans="26:26">
      <c r="Z141" s="80"/>
    </row>
    <row r="142" spans="26:26">
      <c r="Z142" s="80"/>
    </row>
    <row r="143" spans="26:26">
      <c r="Z143" s="80"/>
    </row>
    <row r="144" spans="26:26">
      <c r="Z144" s="80"/>
    </row>
    <row r="145" spans="26:26">
      <c r="Z145" s="80"/>
    </row>
    <row r="146" spans="26:26">
      <c r="Z146" s="80"/>
    </row>
    <row r="147" spans="26:26">
      <c r="Z147" s="80"/>
    </row>
    <row r="148" spans="26:26">
      <c r="Z148" s="80"/>
    </row>
    <row r="149" spans="26:26">
      <c r="Z149" s="80"/>
    </row>
    <row r="150" spans="26:26">
      <c r="Z150" s="80"/>
    </row>
    <row r="151" spans="26:26">
      <c r="Z151" s="80"/>
    </row>
    <row r="152" spans="26:26">
      <c r="Z152" s="80"/>
    </row>
    <row r="153" spans="26:26">
      <c r="Z153" s="80"/>
    </row>
    <row r="154" spans="26:26">
      <c r="Z154" s="80"/>
    </row>
    <row r="155" spans="26:26">
      <c r="Z155" s="80"/>
    </row>
    <row r="156" spans="26:26">
      <c r="Z156" s="80"/>
    </row>
    <row r="157" spans="26:26">
      <c r="Z157" s="80"/>
    </row>
    <row r="158" spans="26:26">
      <c r="Z158" s="80"/>
    </row>
    <row r="159" spans="26:26">
      <c r="Z159" s="80"/>
    </row>
    <row r="160" spans="26:26">
      <c r="Z160" s="80"/>
    </row>
    <row r="161" spans="26:26">
      <c r="Z161" s="80"/>
    </row>
    <row r="162" spans="26:26">
      <c r="Z162" s="80"/>
    </row>
    <row r="163" spans="26:26">
      <c r="Z163" s="80"/>
    </row>
    <row r="164" spans="26:26">
      <c r="Z164" s="80"/>
    </row>
    <row r="165" spans="26:26">
      <c r="Z165" s="80"/>
    </row>
    <row r="166" spans="26:26">
      <c r="Z166" s="80"/>
    </row>
    <row r="167" spans="26:26">
      <c r="Z167" s="80"/>
    </row>
    <row r="168" spans="26:26">
      <c r="Z168" s="80"/>
    </row>
    <row r="169" spans="26:26">
      <c r="Z169" s="80"/>
    </row>
    <row r="170" spans="26:26">
      <c r="Z170" s="80"/>
    </row>
    <row r="171" spans="26:26">
      <c r="Z171" s="80"/>
    </row>
    <row r="172" spans="26:26">
      <c r="Z172" s="80"/>
    </row>
    <row r="173" spans="26:26">
      <c r="Z173" s="80"/>
    </row>
    <row r="174" spans="26:26">
      <c r="Z174" s="80"/>
    </row>
    <row r="175" spans="26:26">
      <c r="Z175" s="80"/>
    </row>
    <row r="176" spans="26:26">
      <c r="Z176" s="80"/>
    </row>
    <row r="177" spans="26:26">
      <c r="Z177" s="80"/>
    </row>
    <row r="178" spans="26:26">
      <c r="Z178" s="80"/>
    </row>
    <row r="179" spans="26:26">
      <c r="Z179" s="80"/>
    </row>
    <row r="180" spans="26:26">
      <c r="Z180" s="80"/>
    </row>
    <row r="181" spans="26:26">
      <c r="Z181" s="80"/>
    </row>
    <row r="182" spans="26:26">
      <c r="Z182" s="80"/>
    </row>
    <row r="183" spans="26:26">
      <c r="Z183" s="80"/>
    </row>
    <row r="184" spans="26:26">
      <c r="Z184" s="80"/>
    </row>
    <row r="185" spans="26:26">
      <c r="Z185" s="80"/>
    </row>
    <row r="186" spans="26:26">
      <c r="Z186" s="80"/>
    </row>
    <row r="187" spans="26:26">
      <c r="Z187" s="80"/>
    </row>
    <row r="188" spans="26:26">
      <c r="Z188" s="80"/>
    </row>
    <row r="189" spans="26:26">
      <c r="Z189" s="80"/>
    </row>
    <row r="190" spans="26:26">
      <c r="Z190" s="80"/>
    </row>
    <row r="191" spans="26:26">
      <c r="Z191" s="80"/>
    </row>
    <row r="192" spans="26:26">
      <c r="Z192" s="80"/>
    </row>
    <row r="193" spans="26:26">
      <c r="Z193" s="80"/>
    </row>
    <row r="194" spans="26:26">
      <c r="Z194" s="80"/>
    </row>
    <row r="195" spans="26:26">
      <c r="Z195" s="80"/>
    </row>
    <row r="196" spans="26:26">
      <c r="Z196" s="80"/>
    </row>
    <row r="197" spans="26:26">
      <c r="Z197" s="80"/>
    </row>
    <row r="198" spans="26:26">
      <c r="Z198" s="80"/>
    </row>
    <row r="199" spans="26:26">
      <c r="Z199" s="80"/>
    </row>
    <row r="200" spans="26:26">
      <c r="Z200" s="80"/>
    </row>
    <row r="201" spans="26:26">
      <c r="Z201" s="80"/>
    </row>
    <row r="202" spans="26:26">
      <c r="Z202" s="80"/>
    </row>
    <row r="203" spans="26:26">
      <c r="Z203" s="80"/>
    </row>
    <row r="204" spans="26:26">
      <c r="Z204" s="80"/>
    </row>
    <row r="205" spans="26:26">
      <c r="Z205" s="80"/>
    </row>
    <row r="206" spans="26:26">
      <c r="Z206" s="80"/>
    </row>
    <row r="207" spans="26:26">
      <c r="Z207" s="80"/>
    </row>
    <row r="208" spans="26:26">
      <c r="Z208" s="80"/>
    </row>
    <row r="209" spans="26:26">
      <c r="Z209" s="80"/>
    </row>
    <row r="210" spans="26:26">
      <c r="Z210" s="80"/>
    </row>
    <row r="211" spans="26:26">
      <c r="Z211" s="80"/>
    </row>
    <row r="212" spans="26:26">
      <c r="Z212" s="80"/>
    </row>
    <row r="213" spans="26:26">
      <c r="Z213" s="80"/>
    </row>
    <row r="214" spans="26:26">
      <c r="Z214" s="80"/>
    </row>
    <row r="215" spans="26:26">
      <c r="Z215" s="80"/>
    </row>
    <row r="216" spans="26:26">
      <c r="Z216" s="80"/>
    </row>
    <row r="217" spans="26:26">
      <c r="Z217" s="80"/>
    </row>
    <row r="218" spans="26:26">
      <c r="Z218" s="80"/>
    </row>
    <row r="219" spans="26:26">
      <c r="Z219" s="80"/>
    </row>
    <row r="220" spans="26:26">
      <c r="Z220" s="80"/>
    </row>
    <row r="221" spans="26:26">
      <c r="Z221" s="80"/>
    </row>
    <row r="222" spans="26:26">
      <c r="Z222" s="80"/>
    </row>
    <row r="223" spans="26:26">
      <c r="Z223" s="80"/>
    </row>
    <row r="224" spans="26:26">
      <c r="Z224" s="80"/>
    </row>
    <row r="225" spans="26:26">
      <c r="Z225" s="80"/>
    </row>
    <row r="226" spans="26:26">
      <c r="Z226" s="80"/>
    </row>
    <row r="227" spans="26:26">
      <c r="Z227" s="80"/>
    </row>
    <row r="228" spans="26:26">
      <c r="Z228" s="80"/>
    </row>
    <row r="229" spans="26:26">
      <c r="Z229" s="80"/>
    </row>
    <row r="230" spans="26:26">
      <c r="Z230" s="80"/>
    </row>
    <row r="231" spans="26:26">
      <c r="Z231" s="80"/>
    </row>
    <row r="232" spans="26:26">
      <c r="Z232" s="80"/>
    </row>
    <row r="233" spans="26:26">
      <c r="Z233" s="80"/>
    </row>
    <row r="234" spans="26:26">
      <c r="Z234" s="80"/>
    </row>
    <row r="235" spans="26:26">
      <c r="Z235" s="80"/>
    </row>
    <row r="236" spans="26:26">
      <c r="Z236" s="80"/>
    </row>
    <row r="237" spans="26:26">
      <c r="Z237" s="80"/>
    </row>
    <row r="238" spans="26:26">
      <c r="Z238" s="80"/>
    </row>
    <row r="239" spans="26:26">
      <c r="Z239" s="80"/>
    </row>
    <row r="240" spans="26:26">
      <c r="Z240" s="80"/>
    </row>
    <row r="241" spans="26:26">
      <c r="Z241" s="80"/>
    </row>
    <row r="242" spans="26:26">
      <c r="Z242" s="80"/>
    </row>
    <row r="243" spans="26:26">
      <c r="Z243" s="80"/>
    </row>
    <row r="244" spans="26:26">
      <c r="Z244" s="80"/>
    </row>
    <row r="245" spans="26:26">
      <c r="Z245" s="80"/>
    </row>
    <row r="246" spans="26:26">
      <c r="Z246" s="80"/>
    </row>
    <row r="247" spans="26:26">
      <c r="Z247" s="80"/>
    </row>
    <row r="248" spans="26:26">
      <c r="Z248" s="80"/>
    </row>
    <row r="249" spans="26:26">
      <c r="Z249" s="80"/>
    </row>
    <row r="250" spans="26:26">
      <c r="Z250" s="80"/>
    </row>
    <row r="251" spans="26:26">
      <c r="Z251" s="80"/>
    </row>
    <row r="252" spans="26:26">
      <c r="Z252" s="80"/>
    </row>
    <row r="253" spans="26:26">
      <c r="Z253" s="80"/>
    </row>
    <row r="254" spans="26:26">
      <c r="Z254" s="80"/>
    </row>
    <row r="255" spans="26:26">
      <c r="Z255" s="80"/>
    </row>
    <row r="256" spans="26:26">
      <c r="Z256" s="80"/>
    </row>
    <row r="257" spans="26:26">
      <c r="Z257" s="80"/>
    </row>
    <row r="258" spans="26:26">
      <c r="Z258" s="80"/>
    </row>
    <row r="259" spans="26:26">
      <c r="Z259" s="80"/>
    </row>
    <row r="260" spans="26:26">
      <c r="Z260" s="80"/>
    </row>
    <row r="261" spans="26:26">
      <c r="Z261" s="80"/>
    </row>
    <row r="262" spans="26:26">
      <c r="Z262" s="80"/>
    </row>
    <row r="263" spans="26:26">
      <c r="Z263" s="80"/>
    </row>
    <row r="264" spans="26:26">
      <c r="Z264" s="80"/>
    </row>
    <row r="265" spans="26:26">
      <c r="Z265" s="80"/>
    </row>
    <row r="266" spans="26:26">
      <c r="Z266" s="80"/>
    </row>
    <row r="267" spans="26:26">
      <c r="Z267" s="80"/>
    </row>
    <row r="268" spans="26:26">
      <c r="Z268" s="80"/>
    </row>
    <row r="269" spans="26:26">
      <c r="Z269" s="80"/>
    </row>
    <row r="270" spans="26:26">
      <c r="Z270" s="80"/>
    </row>
    <row r="271" spans="26:26">
      <c r="Z271" s="80"/>
    </row>
    <row r="272" spans="26:26">
      <c r="Z272" s="80"/>
    </row>
    <row r="273" spans="26:26">
      <c r="Z273" s="80"/>
    </row>
    <row r="274" spans="26:26">
      <c r="Z274" s="80"/>
    </row>
    <row r="275" spans="26:26">
      <c r="Z275" s="80"/>
    </row>
    <row r="276" spans="26:26">
      <c r="Z276" s="80"/>
    </row>
    <row r="277" spans="26:26">
      <c r="Z277" s="80"/>
    </row>
    <row r="278" spans="26:26">
      <c r="Z278" s="80"/>
    </row>
    <row r="279" spans="26:26">
      <c r="Z279" s="80"/>
    </row>
    <row r="280" spans="26:26">
      <c r="Z280" s="80"/>
    </row>
    <row r="281" spans="26:26">
      <c r="Z281" s="80"/>
    </row>
    <row r="282" spans="26:26">
      <c r="Z282" s="80"/>
    </row>
    <row r="283" spans="26:26">
      <c r="Z283" s="80"/>
    </row>
    <row r="284" spans="26:26">
      <c r="Z284" s="80"/>
    </row>
    <row r="285" spans="26:26">
      <c r="Z285" s="80"/>
    </row>
    <row r="286" spans="26:26">
      <c r="Z286" s="80"/>
    </row>
    <row r="287" spans="26:26">
      <c r="Z287" s="80"/>
    </row>
    <row r="288" spans="26:26">
      <c r="Z288" s="80"/>
    </row>
    <row r="289" spans="26:26">
      <c r="Z289" s="80"/>
    </row>
    <row r="290" spans="26:26">
      <c r="Z290" s="80"/>
    </row>
    <row r="291" spans="26:26">
      <c r="Z291" s="80"/>
    </row>
    <row r="292" spans="26:26">
      <c r="Z292" s="80"/>
    </row>
    <row r="293" spans="26:26">
      <c r="Z293" s="80"/>
    </row>
    <row r="294" spans="26:26">
      <c r="Z294" s="80"/>
    </row>
    <row r="295" spans="26:26">
      <c r="Z295" s="80"/>
    </row>
    <row r="296" spans="26:26">
      <c r="Z296" s="80"/>
    </row>
    <row r="297" spans="26:26">
      <c r="Z297" s="80"/>
    </row>
    <row r="298" spans="26:26">
      <c r="Z298" s="80"/>
    </row>
    <row r="299" spans="26:26">
      <c r="Z299" s="80"/>
    </row>
    <row r="300" spans="26:26">
      <c r="Z300" s="80"/>
    </row>
    <row r="301" spans="26:26">
      <c r="Z301" s="80"/>
    </row>
    <row r="302" spans="26:26">
      <c r="Z302" s="80"/>
    </row>
    <row r="303" spans="26:26">
      <c r="Z303" s="80"/>
    </row>
    <row r="304" spans="26:26">
      <c r="Z304" s="80"/>
    </row>
    <row r="305" spans="26:26">
      <c r="Z305" s="80"/>
    </row>
    <row r="306" spans="26:26">
      <c r="Z306" s="80"/>
    </row>
    <row r="307" spans="26:26">
      <c r="Z307" s="80"/>
    </row>
    <row r="308" spans="26:26">
      <c r="Z308" s="80"/>
    </row>
    <row r="309" spans="26:26">
      <c r="Z309" s="80"/>
    </row>
    <row r="310" spans="26:26">
      <c r="Z310" s="80"/>
    </row>
    <row r="311" spans="26:26">
      <c r="Z311" s="80"/>
    </row>
    <row r="312" spans="26:26">
      <c r="Z312" s="80"/>
    </row>
    <row r="313" spans="26:26">
      <c r="Z313" s="80"/>
    </row>
    <row r="314" spans="26:26">
      <c r="Z314" s="80"/>
    </row>
    <row r="315" spans="26:26">
      <c r="Z315" s="80"/>
    </row>
    <row r="316" spans="26:26">
      <c r="Z316" s="80"/>
    </row>
    <row r="317" spans="26:26">
      <c r="Z317" s="80"/>
    </row>
    <row r="318" spans="26:26">
      <c r="Z318" s="80"/>
    </row>
    <row r="319" spans="26:26">
      <c r="Z319" s="80"/>
    </row>
    <row r="320" spans="26:26">
      <c r="Z320" s="80"/>
    </row>
    <row r="321" spans="26:26">
      <c r="Z321" s="80"/>
    </row>
    <row r="322" spans="26:26">
      <c r="Z322" s="80"/>
    </row>
    <row r="323" spans="26:26">
      <c r="Z323" s="80"/>
    </row>
    <row r="324" spans="26:26">
      <c r="Z324" s="80"/>
    </row>
    <row r="325" spans="26:26">
      <c r="Z325" s="80"/>
    </row>
    <row r="326" spans="26:26">
      <c r="Z326" s="80"/>
    </row>
    <row r="327" spans="26:26">
      <c r="Z327" s="80"/>
    </row>
    <row r="328" spans="26:26">
      <c r="Z328" s="80"/>
    </row>
    <row r="329" spans="26:26">
      <c r="Z329" s="80"/>
    </row>
    <row r="330" spans="26:26">
      <c r="Z330" s="80"/>
    </row>
    <row r="331" spans="26:26">
      <c r="Z331" s="80"/>
    </row>
    <row r="332" spans="26:26">
      <c r="Z332" s="80"/>
    </row>
    <row r="333" spans="26:26">
      <c r="Z333" s="80"/>
    </row>
    <row r="334" spans="26:26">
      <c r="Z334" s="80"/>
    </row>
    <row r="335" spans="26:26">
      <c r="Z335" s="80"/>
    </row>
    <row r="336" spans="26:26">
      <c r="Z336" s="80"/>
    </row>
    <row r="337" spans="26:26">
      <c r="Z337" s="80"/>
    </row>
    <row r="338" spans="26:26">
      <c r="Z338" s="80"/>
    </row>
    <row r="339" spans="26:26">
      <c r="Z339" s="80"/>
    </row>
    <row r="340" spans="26:26">
      <c r="Z340" s="80"/>
    </row>
    <row r="341" spans="26:26">
      <c r="Z341" s="80"/>
    </row>
    <row r="342" spans="26:26">
      <c r="Z342" s="80"/>
    </row>
    <row r="343" spans="26:26">
      <c r="Z343" s="80"/>
    </row>
    <row r="344" spans="26:26">
      <c r="Z344" s="80"/>
    </row>
    <row r="345" spans="26:26">
      <c r="Z345" s="80"/>
    </row>
    <row r="346" spans="26:26">
      <c r="Z346" s="80"/>
    </row>
    <row r="347" spans="26:26">
      <c r="Z347" s="80"/>
    </row>
    <row r="348" spans="26:26">
      <c r="Z348" s="80"/>
    </row>
    <row r="349" spans="26:26">
      <c r="Z349" s="80"/>
    </row>
    <row r="350" spans="26:26">
      <c r="Z350" s="80"/>
    </row>
    <row r="351" spans="26:26">
      <c r="Z351" s="80"/>
    </row>
    <row r="352" spans="26:26">
      <c r="Z352" s="80"/>
    </row>
    <row r="353" spans="26:26">
      <c r="Z353" s="80"/>
    </row>
  </sheetData>
  <sheetProtection sheet="1" objects="1" scenarios="1" formatCells="0" formatColumns="0" formatRows="0" sort="0" autoFilter="0"/>
  <autoFilter ref="A1:AN93" xr:uid="{816267F8-1ADA-4445-8CD7-27DEF0588F19}">
    <filterColumn colId="24">
      <filters>
        <dateGroupItem year="2022" month="2" dateTimeGrouping="month"/>
      </filters>
    </filterColumn>
  </autoFilter>
  <mergeCells count="4">
    <mergeCell ref="A116:B116"/>
    <mergeCell ref="A117:B117"/>
    <mergeCell ref="A121:B121"/>
    <mergeCell ref="A115:B115"/>
  </mergeCells>
  <conditionalFormatting sqref="D116">
    <cfRule type="cellIs" dxfId="30" priority="4" operator="equal">
      <formula>$D$117</formula>
    </cfRule>
  </conditionalFormatting>
  <conditionalFormatting sqref="D117">
    <cfRule type="cellIs" dxfId="29" priority="3" operator="equal">
      <formula>$D$116</formula>
    </cfRule>
  </conditionalFormatting>
  <conditionalFormatting sqref="C116">
    <cfRule type="cellIs" dxfId="28" priority="2" operator="equal">
      <formula>$C$117</formula>
    </cfRule>
  </conditionalFormatting>
  <conditionalFormatting sqref="C117">
    <cfRule type="cellIs" dxfId="27" priority="1" operator="equal">
      <formula>$C$116</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B0E95-BA7D-E148-8A00-AE054E5DA9D1}">
  <sheetPr codeName="Sheet5" filterMode="1"/>
  <dimension ref="A1:AN353"/>
  <sheetViews>
    <sheetView topLeftCell="M1" workbookViewId="0">
      <selection activeCell="O1" sqref="O1"/>
    </sheetView>
  </sheetViews>
  <sheetFormatPr defaultColWidth="9.140625" defaultRowHeight="15"/>
  <cols>
    <col min="1" max="2" width="12.85546875" style="9" customWidth="1"/>
    <col min="3" max="3" width="28" style="15" customWidth="1"/>
    <col min="4" max="4" width="73.7109375" style="15" customWidth="1"/>
    <col min="5" max="7" width="12" style="9" customWidth="1"/>
    <col min="8" max="8" width="10.140625" style="9" customWidth="1"/>
    <col min="9" max="10" width="8.7109375" style="9" customWidth="1"/>
    <col min="11" max="11" width="10" style="9" customWidth="1"/>
    <col min="12" max="12" width="16.28515625" style="74" customWidth="1"/>
    <col min="13" max="13" width="12.7109375" style="9" customWidth="1"/>
    <col min="14" max="14" width="17.140625" style="9" customWidth="1"/>
    <col min="15" max="15" width="17.140625" style="401" customWidth="1"/>
    <col min="16" max="16" width="18.28515625" style="80" customWidth="1"/>
    <col min="17" max="17" width="16.7109375" style="80" customWidth="1"/>
    <col min="18" max="18" width="18.28515625" style="80" customWidth="1"/>
    <col min="19" max="19" width="17.7109375" style="9" customWidth="1"/>
    <col min="20" max="20" width="16.7109375" style="9" customWidth="1"/>
    <col min="21" max="21" width="18.28515625" style="80" customWidth="1"/>
    <col min="22" max="22" width="17.7109375" style="9" customWidth="1"/>
    <col min="23" max="24" width="16.7109375" style="9" customWidth="1"/>
    <col min="25" max="25" width="19.140625" style="80" customWidth="1"/>
    <col min="26" max="26" width="18.28515625" style="383" customWidth="1"/>
    <col min="27" max="27" width="16.42578125" style="9" customWidth="1"/>
    <col min="28" max="28" width="16.42578125" style="80" customWidth="1"/>
    <col min="29" max="29" width="18.28515625" style="80" customWidth="1"/>
    <col min="30" max="32" width="16.42578125" style="9" customWidth="1"/>
    <col min="33" max="33" width="16.42578125" style="80" customWidth="1"/>
    <col min="34" max="34" width="18.28515625" style="80" customWidth="1"/>
    <col min="35" max="35" width="16.42578125" style="80" customWidth="1"/>
    <col min="36" max="36" width="18.28515625" style="80" customWidth="1"/>
    <col min="37" max="37" width="60.7109375" style="9" customWidth="1"/>
    <col min="38" max="16384" width="9.140625" style="9"/>
  </cols>
  <sheetData>
    <row r="1" spans="1:40" ht="102">
      <c r="A1" s="28" t="str" cm="1">
        <f t="array" ref="A1:AL93">IF(ISBLANK('ICU_cargo MASTER INPUT SHEET'!A1:AL93),"",'ICU_cargo MASTER INPUT SHEET'!A1:AL93)</f>
        <v>Cargo Item  respective WBS Level</v>
      </c>
      <c r="B1" s="28" t="str">
        <v>Work Package</v>
      </c>
      <c r="C1" s="29" t="str">
        <v>Item Description</v>
      </c>
      <c r="D1" s="30" t="str">
        <v>Contents &amp; Comments</v>
      </c>
      <c r="E1" s="28" t="str">
        <v>Length (in)</v>
      </c>
      <c r="F1" s="28" t="str">
        <v>Width (in)</v>
      </c>
      <c r="G1" s="28" t="str">
        <v>Height (in)</v>
      </c>
      <c r="H1" s="28" t="str">
        <v>Quantity</v>
      </c>
      <c r="I1" s="28" t="str">
        <v xml:space="preserve"> Cubic feet</v>
      </c>
      <c r="J1" s="28" t="str">
        <v>Unit weight (lbs)</v>
      </c>
      <c r="K1" s="28" t="str">
        <v>Total Weight (lbs) = quantity x unit weight</v>
      </c>
      <c r="L1" s="28" t="str">
        <v>Basis of Estimate</v>
      </c>
      <c r="M1" s="28" t="str">
        <v>Special Handling?</v>
      </c>
      <c r="N1" s="28" t="str">
        <v xml:space="preserve">Owner/Guardian institution </v>
      </c>
      <c r="O1" s="405" t="str">
        <v>Time between date of completion and shipping date</v>
      </c>
      <c r="P1" s="93" t="str">
        <v xml:space="preserve">Date of expected  or actual  completion </v>
      </c>
      <c r="Q1" s="93" t="str">
        <v>Expected Route:  Owner - PTH or CHC</v>
      </c>
      <c r="R1" s="93" t="str">
        <v xml:space="preserve">Date of expected or actual shipment </v>
      </c>
      <c r="S1" s="32" t="str">
        <v>Recommended Transportation Option</v>
      </c>
      <c r="T1" s="32" t="str">
        <v>Expected Route: PTH - MCM or CHC</v>
      </c>
      <c r="U1" s="228" t="str">
        <v xml:space="preserve">Date of expected or actual shipment </v>
      </c>
      <c r="V1" s="33" t="str">
        <v>Recommended Transportation Option</v>
      </c>
      <c r="W1" s="33" t="str">
        <v>Expected Route: CHC - MCM</v>
      </c>
      <c r="X1" s="33" t="str">
        <v xml:space="preserve">Date of expected or actual shipment </v>
      </c>
      <c r="Y1" s="83" t="str">
        <v>Recommended Transportation Option</v>
      </c>
      <c r="Z1" s="83" t="str">
        <v>Date Item expected or arrived to MCM</v>
      </c>
      <c r="AA1" s="28" t="str">
        <v xml:space="preserve">Date of (planned) or actual shipment to SPA </v>
      </c>
      <c r="AB1" s="83" t="str">
        <v>Recommended LC-130 or SPOT</v>
      </c>
      <c r="AC1" s="83" t="str">
        <v>Date/Month for Items needed at South Pole</v>
      </c>
      <c r="AD1" s="28" t="str">
        <v>Critical Path</v>
      </c>
      <c r="AE1" s="28" t="str">
        <v>Intercontinental shipping</v>
      </c>
      <c r="AF1" s="28" t="str">
        <v>Intracontinental shipping</v>
      </c>
      <c r="AG1" s="83" t="str">
        <v>Validator 1
(SME)</v>
      </c>
      <c r="AH1" s="83" t="str">
        <v>Validation Date</v>
      </c>
      <c r="AI1" s="83" t="str">
        <v>Validator 2
(Logistics)</v>
      </c>
      <c r="AJ1" s="83" t="str">
        <v>Validation Date</v>
      </c>
      <c r="AK1" s="28" t="str">
        <v>Notes</v>
      </c>
      <c r="AL1" s="9" t="str">
        <v/>
      </c>
    </row>
    <row r="2" spans="1:40" ht="33.950000000000003" hidden="1">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8">
        <v>43867</v>
      </c>
      <c r="Q2" s="429" t="str">
        <v>In McMurdo</v>
      </c>
      <c r="R2" s="428" t="str">
        <v>-</v>
      </c>
      <c r="S2" s="430" t="str">
        <v>-</v>
      </c>
      <c r="T2" s="431" t="str">
        <v>In McMurdo</v>
      </c>
      <c r="U2" s="431" t="str">
        <v>-</v>
      </c>
      <c r="V2" s="432" t="str">
        <v>-</v>
      </c>
      <c r="W2" s="433" t="str">
        <v>In McMurdo</v>
      </c>
      <c r="X2" s="433" t="str">
        <v>-</v>
      </c>
      <c r="Y2" s="88" t="str">
        <v>-</v>
      </c>
      <c r="Z2" s="434" t="str">
        <v>In McMurdo</v>
      </c>
      <c r="AA2" s="409" t="str">
        <v>-</v>
      </c>
      <c r="AB2" s="435" t="str">
        <v>SPoT</v>
      </c>
      <c r="AC2" s="409">
        <v>45261</v>
      </c>
      <c r="AD2" s="409" t="str">
        <v>Yes</v>
      </c>
      <c r="AE2" s="409" t="str">
        <v>In McMurdo</v>
      </c>
      <c r="AF2" s="409" t="str">
        <v>FY24 intra</v>
      </c>
      <c r="AG2" s="409" t="str">
        <v>D. Gibson</v>
      </c>
      <c r="AH2" s="409">
        <v>44475</v>
      </c>
      <c r="AI2" s="409" t="str">
        <v>I. McEwen</v>
      </c>
      <c r="AJ2" s="10">
        <v>44475</v>
      </c>
      <c r="AK2" s="409" t="str">
        <v>Will require crane for onload/offload  - use belly band to support container sidewalls during lift.</v>
      </c>
      <c r="AL2" s="9" t="str">
        <v/>
      </c>
    </row>
    <row r="3" spans="1:40" ht="51" hidden="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8">
        <v>43845</v>
      </c>
      <c r="Q3" s="429" t="str">
        <v>In McMurdo</v>
      </c>
      <c r="R3" s="428" t="str">
        <v>-</v>
      </c>
      <c r="S3" s="430" t="str">
        <v>-</v>
      </c>
      <c r="T3" s="431" t="str">
        <v>In McMurdo</v>
      </c>
      <c r="U3" s="431" t="str">
        <v>-</v>
      </c>
      <c r="V3" s="432" t="str">
        <v>-</v>
      </c>
      <c r="W3" s="433" t="str">
        <v>In McMurdo</v>
      </c>
      <c r="X3" s="433" t="str">
        <v>-</v>
      </c>
      <c r="Y3" s="88" t="str">
        <v>-</v>
      </c>
      <c r="Z3" s="434" t="str">
        <v>In McMurdo</v>
      </c>
      <c r="AA3" s="409" t="str">
        <v>-</v>
      </c>
      <c r="AB3" s="435" t="str">
        <v>SPoT</v>
      </c>
      <c r="AC3" s="409">
        <v>44927</v>
      </c>
      <c r="AD3" s="409" t="str">
        <v>Yes</v>
      </c>
      <c r="AE3" s="409" t="str">
        <v>In McMurdo</v>
      </c>
      <c r="AF3" s="409" t="str">
        <v>FY23 intra</v>
      </c>
      <c r="AG3" s="409" t="str">
        <v>D. Gibson</v>
      </c>
      <c r="AH3" s="409">
        <v>44475</v>
      </c>
      <c r="AI3" s="409" t="str">
        <v>I. McEwen</v>
      </c>
      <c r="AJ3" s="10">
        <v>44475</v>
      </c>
      <c r="AK3" s="10" t="str">
        <v>Gens 2 &amp; 3 need to be tranferred from ISO2 sleds that are limited to use on improved surfaces only. Will require crane for onload/offload  - use belly band to support container sidewalls during lift.</v>
      </c>
      <c r="AL3" s="9" t="str">
        <v/>
      </c>
    </row>
    <row r="4" spans="1:40" ht="42.95" hidden="1"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8">
        <v>43845</v>
      </c>
      <c r="Q4" s="429" t="str">
        <v>In McMurdo</v>
      </c>
      <c r="R4" s="428" t="str">
        <v>-</v>
      </c>
      <c r="S4" s="430" t="str">
        <v>-</v>
      </c>
      <c r="T4" s="431" t="str">
        <v>In McMurdo</v>
      </c>
      <c r="U4" s="431" t="str">
        <v>-</v>
      </c>
      <c r="V4" s="432" t="str">
        <v>-</v>
      </c>
      <c r="W4" s="433" t="str">
        <v>In McMurdo</v>
      </c>
      <c r="X4" s="433" t="str">
        <v>-</v>
      </c>
      <c r="Y4" s="88" t="str">
        <v>-</v>
      </c>
      <c r="Z4" s="434" t="str">
        <v>In McMurdo</v>
      </c>
      <c r="AA4" s="409" t="str">
        <v>-</v>
      </c>
      <c r="AB4" s="435" t="str">
        <v>SPoT</v>
      </c>
      <c r="AC4" s="409">
        <v>44896</v>
      </c>
      <c r="AD4" s="409" t="str">
        <v>Yes</v>
      </c>
      <c r="AE4" s="409" t="str">
        <v>In McMurdo</v>
      </c>
      <c r="AF4" s="409" t="str">
        <v>FY23 intra</v>
      </c>
      <c r="AG4" s="409" t="str">
        <v>D. Gibson</v>
      </c>
      <c r="AH4" s="409">
        <v>44475</v>
      </c>
      <c r="AI4" s="409" t="str">
        <v>I. McEwen</v>
      </c>
      <c r="AJ4" s="10">
        <v>44475</v>
      </c>
      <c r="AK4" s="409" t="str">
        <v>Gens 2 &amp; 3 need to be tranferred from ISO2 sleds that are limited to use on improved surfaces only. Will require crane for onload/offload  - use belly band to support container sidewalls during lift.</v>
      </c>
      <c r="AL4" s="9" t="str">
        <v/>
      </c>
    </row>
    <row r="5" spans="1:40" ht="34.5" hidden="1"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8">
        <v>43753</v>
      </c>
      <c r="Q5" s="94" t="str">
        <v>In McMurdo</v>
      </c>
      <c r="R5" s="428">
        <v>43784</v>
      </c>
      <c r="S5" s="430" t="str">
        <v>Truck</v>
      </c>
      <c r="T5" s="431" t="str">
        <v>In McMurdo</v>
      </c>
      <c r="U5" s="431" t="str">
        <v>-</v>
      </c>
      <c r="V5" s="432" t="str">
        <v>-</v>
      </c>
      <c r="W5" s="433" t="str">
        <v>In McMurdo</v>
      </c>
      <c r="X5" s="433" t="str">
        <v>-</v>
      </c>
      <c r="Y5" s="88" t="str">
        <v>-</v>
      </c>
      <c r="Z5" s="434" t="str">
        <v>In McMurdo</v>
      </c>
      <c r="AA5" s="427" t="str">
        <v>-</v>
      </c>
      <c r="AB5" s="435" t="str">
        <v>LC-130/SPoT</v>
      </c>
      <c r="AC5" s="409">
        <v>44896</v>
      </c>
      <c r="AD5" s="409" t="str">
        <v>No*</v>
      </c>
      <c r="AE5" s="409" t="str">
        <v>In McMurdo</v>
      </c>
      <c r="AF5" s="409" t="str">
        <v>FY23 intra</v>
      </c>
      <c r="AG5" s="409" t="str">
        <v>D. Gibson</v>
      </c>
      <c r="AH5" s="409">
        <v>44476</v>
      </c>
      <c r="AI5" s="409" t="str">
        <v>I. McEwen</v>
      </c>
      <c r="AJ5" s="52">
        <v>44476</v>
      </c>
      <c r="AK5" s="409" t="str">
        <v>*Required onsite early in FY23 for refit/pre-drill activity support unless ASC can supply dedicated loader for Upgrade use</v>
      </c>
      <c r="AL5" s="9" t="str">
        <v/>
      </c>
    </row>
    <row r="6" spans="1:40" ht="44.1" hidden="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8">
        <v>43814</v>
      </c>
      <c r="Q6" s="429" t="str">
        <v>In McMurdo</v>
      </c>
      <c r="R6" s="428" t="str">
        <v/>
      </c>
      <c r="S6" s="431" t="str">
        <v/>
      </c>
      <c r="T6" s="431" t="str">
        <v>In McMurdo</v>
      </c>
      <c r="U6" s="431" t="str">
        <v>-</v>
      </c>
      <c r="V6" s="433" t="str">
        <v>-</v>
      </c>
      <c r="W6" s="433" t="str">
        <v>In McMurdo</v>
      </c>
      <c r="X6" s="433" t="str">
        <v>-</v>
      </c>
      <c r="Y6" s="88" t="str">
        <v>-</v>
      </c>
      <c r="Z6" s="434" t="str">
        <v>In McMurdo</v>
      </c>
      <c r="AA6" s="427" t="str">
        <v>-</v>
      </c>
      <c r="AB6" s="435" t="str">
        <v>LC-130/SPoT</v>
      </c>
      <c r="AC6" s="409">
        <v>45292</v>
      </c>
      <c r="AD6" s="409" t="str">
        <v>No</v>
      </c>
      <c r="AE6" s="409" t="str">
        <v>In McMurdo</v>
      </c>
      <c r="AF6" s="409" t="str">
        <v>FY24 intra</v>
      </c>
      <c r="AG6" s="409" t="str">
        <v>D. Gibson</v>
      </c>
      <c r="AH6" s="409">
        <v>44477</v>
      </c>
      <c r="AI6" s="409" t="str">
        <v>I. McEwen</v>
      </c>
      <c r="AJ6" s="409">
        <v>44477</v>
      </c>
      <c r="AK6" s="409" t="str">
        <v>Testing/limited operation of Gens can be accomplished without hoods - Hoods required for the drill season</v>
      </c>
      <c r="AL6" s="9" t="str">
        <v/>
      </c>
    </row>
    <row r="7" spans="1:40" ht="38.25" hidden="1"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8">
        <v>43845</v>
      </c>
      <c r="Q7" s="429" t="str">
        <v>In McMurdo</v>
      </c>
      <c r="R7" s="428" t="str">
        <v/>
      </c>
      <c r="S7" s="431" t="str">
        <v/>
      </c>
      <c r="T7" s="431" t="str">
        <v>In McMurdo</v>
      </c>
      <c r="U7" s="431" t="str">
        <v>-</v>
      </c>
      <c r="V7" s="433" t="str">
        <v>-</v>
      </c>
      <c r="W7" s="433" t="str">
        <v>In McMurdo</v>
      </c>
      <c r="X7" s="433" t="str">
        <v>-</v>
      </c>
      <c r="Y7" s="88" t="str">
        <v>-</v>
      </c>
      <c r="Z7" s="434" t="str">
        <v>In McMurdo</v>
      </c>
      <c r="AA7" s="427" t="str">
        <v>-</v>
      </c>
      <c r="AB7" s="435" t="str">
        <v>LC-130/SPoT</v>
      </c>
      <c r="AC7" s="409">
        <v>45261</v>
      </c>
      <c r="AD7" s="409" t="str">
        <v>Yes</v>
      </c>
      <c r="AE7" s="409" t="str">
        <v>In McMurdo</v>
      </c>
      <c r="AF7" s="409" t="str">
        <v>FY24 intra</v>
      </c>
      <c r="AG7" s="409" t="str">
        <v>D. Gibson</v>
      </c>
      <c r="AH7" s="409">
        <v>44477</v>
      </c>
      <c r="AI7" s="409" t="str">
        <v>I. McEwen</v>
      </c>
      <c r="AJ7" s="409">
        <v>44477</v>
      </c>
      <c r="AK7" s="409" t="str">
        <v>Bermed in McMurdo - SPOTSA</v>
      </c>
      <c r="AL7" s="9" t="str">
        <v/>
      </c>
    </row>
    <row r="8" spans="1:40" ht="17.100000000000001" hidden="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8">
        <v>43845</v>
      </c>
      <c r="Q8" s="429" t="str">
        <v>In McMurdo</v>
      </c>
      <c r="R8" s="428" t="str">
        <v>-</v>
      </c>
      <c r="S8" s="431" t="str">
        <v>-</v>
      </c>
      <c r="T8" s="431" t="str">
        <v>In McMurdo</v>
      </c>
      <c r="U8" s="431" t="str">
        <v>-</v>
      </c>
      <c r="V8" s="432" t="str">
        <v>-</v>
      </c>
      <c r="W8" s="433" t="str">
        <v>In McMurdo</v>
      </c>
      <c r="X8" s="433" t="str">
        <v>-</v>
      </c>
      <c r="Y8" s="88" t="str">
        <v>-</v>
      </c>
      <c r="Z8" s="434" t="str">
        <v>In McMurdo</v>
      </c>
      <c r="AA8" s="427" t="str">
        <v>-</v>
      </c>
      <c r="AB8" s="435" t="str">
        <v>LC-130/SPoT</v>
      </c>
      <c r="AC8" s="409">
        <v>45261</v>
      </c>
      <c r="AD8" s="409" t="str">
        <v>Yes</v>
      </c>
      <c r="AE8" s="409" t="str">
        <v>In McMurdo</v>
      </c>
      <c r="AF8" s="409" t="str">
        <v>FY24 intra</v>
      </c>
      <c r="AG8" s="409" t="str">
        <v>D. Gibson</v>
      </c>
      <c r="AH8" s="409">
        <v>44477</v>
      </c>
      <c r="AI8" s="409" t="str">
        <v>I. McEwen</v>
      </c>
      <c r="AJ8" s="409">
        <v>44477</v>
      </c>
      <c r="AK8" s="409" t="str">
        <v/>
      </c>
      <c r="AL8" s="9" t="str">
        <v/>
      </c>
    </row>
    <row r="9" spans="1:40" ht="17.100000000000001" hidden="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8">
        <v>43845</v>
      </c>
      <c r="Q9" s="429" t="str">
        <v>In McMurdo</v>
      </c>
      <c r="R9" s="428" t="str">
        <v>-</v>
      </c>
      <c r="S9" s="431" t="str">
        <v>-</v>
      </c>
      <c r="T9" s="431" t="str">
        <v>In McMurdo</v>
      </c>
      <c r="U9" s="431" t="str">
        <v>-</v>
      </c>
      <c r="V9" s="432" t="str">
        <v>-</v>
      </c>
      <c r="W9" s="433" t="str">
        <v>In McMurdo</v>
      </c>
      <c r="X9" s="433" t="str">
        <v>-</v>
      </c>
      <c r="Y9" s="88" t="str">
        <v>-</v>
      </c>
      <c r="Z9" s="434" t="str">
        <v>In McMurdo</v>
      </c>
      <c r="AA9" s="427" t="str">
        <v>-</v>
      </c>
      <c r="AB9" s="435" t="str">
        <v>LC-130/SPoT</v>
      </c>
      <c r="AC9" s="409">
        <v>45261</v>
      </c>
      <c r="AD9" s="409" t="str">
        <v>Yes</v>
      </c>
      <c r="AE9" s="409" t="str">
        <v>In McMurdo</v>
      </c>
      <c r="AF9" s="409" t="str">
        <v>FY24 intra</v>
      </c>
      <c r="AG9" s="409" t="str">
        <v>D. Gibson</v>
      </c>
      <c r="AH9" s="409">
        <v>44477</v>
      </c>
      <c r="AI9" s="409" t="str">
        <v>I. McEwen</v>
      </c>
      <c r="AJ9" s="409">
        <v>44477</v>
      </c>
      <c r="AK9" s="409" t="str">
        <v/>
      </c>
      <c r="AL9" s="9" t="str">
        <v/>
      </c>
    </row>
    <row r="10" spans="1:40" s="91" customFormat="1" ht="31.5" hidden="1"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8">
        <v>43845</v>
      </c>
      <c r="Q10" s="429" t="str">
        <v>In McMurdo</v>
      </c>
      <c r="R10" s="428" t="str">
        <v/>
      </c>
      <c r="S10" s="431" t="str">
        <v/>
      </c>
      <c r="T10" s="431" t="str">
        <v>In McMurdo</v>
      </c>
      <c r="U10" s="431" t="str">
        <v>-</v>
      </c>
      <c r="V10" s="433" t="str">
        <v>-</v>
      </c>
      <c r="W10" s="433" t="str">
        <v>In McMurdo</v>
      </c>
      <c r="X10" s="433" t="str">
        <v>-</v>
      </c>
      <c r="Y10" s="88" t="str">
        <v>-</v>
      </c>
      <c r="Z10" s="434" t="str">
        <v>In McMurdo</v>
      </c>
      <c r="AA10" s="427" t="str">
        <v>-</v>
      </c>
      <c r="AB10" s="435" t="str">
        <v>LC-130/SPoT</v>
      </c>
      <c r="AC10" s="409">
        <v>45275</v>
      </c>
      <c r="AD10" s="409" t="str">
        <v>No</v>
      </c>
      <c r="AE10" s="409" t="str">
        <v>In McMurdo</v>
      </c>
      <c r="AF10" s="409" t="str">
        <v>FY24 intra</v>
      </c>
      <c r="AG10" s="409" t="str">
        <v>D. Gibson</v>
      </c>
      <c r="AH10" s="409">
        <v>44477</v>
      </c>
      <c r="AI10" s="409" t="str">
        <v>I. McEwen</v>
      </c>
      <c r="AJ10" s="409">
        <v>44477</v>
      </c>
      <c r="AK10" s="409" t="str">
        <v>Bermed in McMurdo - SPOTSA on UNL flatrack</v>
      </c>
      <c r="AL10" s="9" t="str">
        <v/>
      </c>
      <c r="AM10" s="9"/>
      <c r="AN10" s="9"/>
    </row>
    <row r="11" spans="1:40" ht="44.1" hidden="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8">
        <v>43845</v>
      </c>
      <c r="Q11" s="429" t="str">
        <v>In McMurdo</v>
      </c>
      <c r="R11" s="428"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09">
        <v>44927</v>
      </c>
      <c r="AD11" s="409" t="str">
        <v>Yes</v>
      </c>
      <c r="AE11" s="409" t="str">
        <v>In McMurdo</v>
      </c>
      <c r="AF11" s="409" t="str">
        <v>FY23 intra</v>
      </c>
      <c r="AG11" s="409" t="str">
        <v>D. Gibson</v>
      </c>
      <c r="AH11" s="409">
        <v>44477</v>
      </c>
      <c r="AI11" s="409" t="str">
        <v>I. McEwen</v>
      </c>
      <c r="AJ11" s="409">
        <v>44477</v>
      </c>
      <c r="AK11" s="409" t="str">
        <v>Bermed in McMurdo - SPOTSA on UNL flatrack - overland shipment preferred due to complexities of air transport certification - can be laid on side once drained</v>
      </c>
      <c r="AL11" s="9" t="str">
        <v/>
      </c>
    </row>
    <row r="12" spans="1:40" ht="51" hidden="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8">
        <v>43845</v>
      </c>
      <c r="Q12" s="429" t="str">
        <v>In McMurdo</v>
      </c>
      <c r="R12" s="428" t="str">
        <v/>
      </c>
      <c r="S12" s="431" t="str">
        <v/>
      </c>
      <c r="T12" s="431" t="str">
        <v>In McMurdo</v>
      </c>
      <c r="U12" s="431" t="str">
        <v>-</v>
      </c>
      <c r="V12" s="433" t="str">
        <v>-</v>
      </c>
      <c r="W12" s="433" t="str">
        <v>In McMurdo</v>
      </c>
      <c r="X12" s="433" t="str">
        <v>-</v>
      </c>
      <c r="Y12" s="88" t="str">
        <v>-</v>
      </c>
      <c r="Z12" s="434" t="str">
        <v>In McMurdo</v>
      </c>
      <c r="AA12" s="409" t="str">
        <v>-</v>
      </c>
      <c r="AB12" s="435" t="str">
        <v>SPoT</v>
      </c>
      <c r="AC12" s="409">
        <v>45292</v>
      </c>
      <c r="AD12" s="409" t="str">
        <v>Yes</v>
      </c>
      <c r="AE12" s="409" t="str">
        <v>In McMurdo</v>
      </c>
      <c r="AF12" s="409" t="str">
        <v>FY24 intra</v>
      </c>
      <c r="AG12" s="409" t="str">
        <v>D. Gibson</v>
      </c>
      <c r="AH12" s="409">
        <v>44477</v>
      </c>
      <c r="AI12" s="409" t="str">
        <v>I. McEwen</v>
      </c>
      <c r="AJ12" s="409">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ht="51" hidden="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96" t="str">
        <v>Already at PTH</v>
      </c>
      <c r="P14" s="428">
        <v>44193</v>
      </c>
      <c r="Q14" s="94" t="str">
        <v>Already at PTH</v>
      </c>
      <c r="R14" s="428">
        <v>44211</v>
      </c>
      <c r="S14" s="430" t="str">
        <v>Truck</v>
      </c>
      <c r="T14" s="12" t="str">
        <v>PTH - MCM</v>
      </c>
      <c r="U14" s="431" t="str">
        <v>-</v>
      </c>
      <c r="V14" s="432" t="str">
        <v>USAP Vessel</v>
      </c>
      <c r="W14" s="433" t="str">
        <v>USAP Vessel</v>
      </c>
      <c r="X14" s="433" t="str">
        <v>-</v>
      </c>
      <c r="Y14" s="100" t="str">
        <v>-</v>
      </c>
      <c r="Z14" s="434">
        <v>44598</v>
      </c>
      <c r="AA14" s="427" t="str">
        <v>-</v>
      </c>
      <c r="AB14" s="435" t="str">
        <v>LC-130/SPoT</v>
      </c>
      <c r="AC14" s="409">
        <v>44910</v>
      </c>
      <c r="AD14" s="409" t="str">
        <v>No*</v>
      </c>
      <c r="AE14" s="409" t="str">
        <v>FY22 inter</v>
      </c>
      <c r="AF14" s="409" t="str">
        <v>FY23 intra</v>
      </c>
      <c r="AG14" s="409" t="str">
        <v>D. Gibson</v>
      </c>
      <c r="AH14" s="409">
        <v>44477</v>
      </c>
      <c r="AI14" s="409" t="str">
        <v>I. McEwen</v>
      </c>
      <c r="AJ14" s="409">
        <v>44477</v>
      </c>
      <c r="AK14" s="409" t="str">
        <v>*While this shipment is not on the critical path additional ASC crane support will be required to overcome delayed arrival or sleds furnished from the South Pole inventory</v>
      </c>
      <c r="AL14" s="9" t="str">
        <v/>
      </c>
    </row>
    <row r="15" spans="1:40" ht="33.950000000000003">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98" t="str">
        <v>Already at PTH</v>
      </c>
      <c r="P15" s="429">
        <v>44112</v>
      </c>
      <c r="Q15" s="94" t="str">
        <v>Already at PTH</v>
      </c>
      <c r="R15" s="429">
        <v>44159</v>
      </c>
      <c r="S15" s="430" t="str">
        <v>Truck</v>
      </c>
      <c r="T15" s="440" t="str">
        <v>PTH - MCM</v>
      </c>
      <c r="U15" s="458" t="str">
        <v>-</v>
      </c>
      <c r="V15" s="432" t="str">
        <v>USAP Vessel</v>
      </c>
      <c r="W15" s="433" t="str">
        <v>USAP Vessel</v>
      </c>
      <c r="X15" s="433" t="str">
        <v>-</v>
      </c>
      <c r="Y15" s="100" t="str">
        <v>-</v>
      </c>
      <c r="Z15" s="426">
        <v>44963</v>
      </c>
      <c r="AA15" s="409" t="str">
        <v>-</v>
      </c>
      <c r="AB15" s="435" t="str">
        <v>LC-130/SPoT</v>
      </c>
      <c r="AC15" s="435">
        <v>45292</v>
      </c>
      <c r="AD15" s="409" t="str">
        <v>Yes</v>
      </c>
      <c r="AE15" s="409" t="str">
        <v>FY23 inter</v>
      </c>
      <c r="AF15" s="61" t="str">
        <v>FY24 intra</v>
      </c>
      <c r="AG15" s="204" t="str">
        <v>D. Gibson</v>
      </c>
      <c r="AH15" s="204">
        <v>44477</v>
      </c>
      <c r="AI15" s="204" t="str">
        <v>I. McEwen</v>
      </c>
      <c r="AJ15" s="435">
        <v>44477</v>
      </c>
      <c r="AK15" s="409" t="str">
        <v/>
      </c>
      <c r="AL15" s="9" t="str">
        <v/>
      </c>
    </row>
    <row r="16" spans="1:40" ht="33.950000000000003">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98" t="str">
        <v>Already at PTH</v>
      </c>
      <c r="P16" s="429">
        <v>44112</v>
      </c>
      <c r="Q16" s="94" t="str">
        <v>Already at PTH</v>
      </c>
      <c r="R16" s="429">
        <v>44159</v>
      </c>
      <c r="S16" s="430" t="str">
        <v>Truck</v>
      </c>
      <c r="T16" s="440" t="str">
        <v>PTH - MCM</v>
      </c>
      <c r="U16" s="458" t="str">
        <v>-</v>
      </c>
      <c r="V16" s="432" t="str">
        <v>USAP Vessel</v>
      </c>
      <c r="W16" s="433" t="str">
        <v>USAP Vessel</v>
      </c>
      <c r="X16" s="433" t="str">
        <v>-</v>
      </c>
      <c r="Y16" s="100" t="str">
        <v>-</v>
      </c>
      <c r="Z16" s="426">
        <v>44963</v>
      </c>
      <c r="AA16" s="409" t="str">
        <v>-</v>
      </c>
      <c r="AB16" s="435" t="str">
        <v>LC-130/SPoT</v>
      </c>
      <c r="AC16" s="435">
        <v>45292</v>
      </c>
      <c r="AD16" s="409" t="str">
        <v>Yes</v>
      </c>
      <c r="AE16" s="409" t="str">
        <v>FY23 inter</v>
      </c>
      <c r="AF16" s="61" t="str">
        <v>FY24 intra</v>
      </c>
      <c r="AG16" s="204" t="str">
        <v>D. Gibson</v>
      </c>
      <c r="AH16" s="204">
        <v>44477</v>
      </c>
      <c r="AI16" s="204" t="str">
        <v>I. McEwen</v>
      </c>
      <c r="AJ16" s="435">
        <v>44477</v>
      </c>
      <c r="AK16" s="409" t="str">
        <v/>
      </c>
      <c r="AL16" s="9" t="str">
        <v/>
      </c>
    </row>
    <row r="17" spans="1:40" ht="34.35"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98" t="str">
        <v>Already at PTH</v>
      </c>
      <c r="P17" s="429">
        <v>44041</v>
      </c>
      <c r="Q17" s="94" t="str">
        <v>Already at PTH</v>
      </c>
      <c r="R17" s="429">
        <v>44058</v>
      </c>
      <c r="S17" s="430" t="str">
        <v>Truck</v>
      </c>
      <c r="T17" s="440" t="str">
        <v>PTH - MCM</v>
      </c>
      <c r="U17" s="458" t="str">
        <v>-</v>
      </c>
      <c r="V17" s="432" t="str">
        <v>USAP Vessel</v>
      </c>
      <c r="W17" s="433" t="str">
        <v>USAP Vessel</v>
      </c>
      <c r="X17" s="433" t="str">
        <v>-</v>
      </c>
      <c r="Y17" s="100" t="str">
        <v>-</v>
      </c>
      <c r="Z17" s="426">
        <v>44963</v>
      </c>
      <c r="AA17" s="427" t="str">
        <v>-</v>
      </c>
      <c r="AB17" s="435" t="str">
        <v>LC-130/SPoT</v>
      </c>
      <c r="AC17" s="435">
        <v>45292</v>
      </c>
      <c r="AD17" s="409" t="str">
        <v>Yes</v>
      </c>
      <c r="AE17" s="409" t="str">
        <v>FY23 inter</v>
      </c>
      <c r="AF17" s="61" t="str">
        <v>FY24 intra</v>
      </c>
      <c r="AG17" s="204" t="str">
        <v>D. Gibson</v>
      </c>
      <c r="AH17" s="204">
        <v>44477</v>
      </c>
      <c r="AI17" s="204" t="str">
        <v>I. McEwen</v>
      </c>
      <c r="AJ17" s="435">
        <v>44477</v>
      </c>
      <c r="AK17" s="409" t="str">
        <v>Hose to be installed on Main Supply Hose Reel upon arrival at Pole</v>
      </c>
      <c r="AL17" s="9" t="str">
        <v/>
      </c>
    </row>
    <row r="18" spans="1:40" ht="34.35"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98" t="str">
        <v>Already at PTH</v>
      </c>
      <c r="P18" s="429">
        <v>44154</v>
      </c>
      <c r="Q18" s="94" t="str">
        <v>Already at PTH</v>
      </c>
      <c r="R18" s="429">
        <v>44211</v>
      </c>
      <c r="S18" s="430" t="str">
        <v>Truck</v>
      </c>
      <c r="T18" s="440" t="str">
        <v>PTH - MCM</v>
      </c>
      <c r="U18" s="458" t="str">
        <v>-</v>
      </c>
      <c r="V18" s="432" t="str">
        <v>USAP Vessel</v>
      </c>
      <c r="W18" s="433" t="str">
        <v>USAP Vessel</v>
      </c>
      <c r="X18" s="433" t="str">
        <v>-</v>
      </c>
      <c r="Y18" s="100" t="str">
        <v>-</v>
      </c>
      <c r="Z18" s="426">
        <v>44963</v>
      </c>
      <c r="AA18" s="427" t="str">
        <v>-</v>
      </c>
      <c r="AB18" s="435" t="str">
        <v>LC-130/SPoT</v>
      </c>
      <c r="AC18" s="435">
        <v>45292</v>
      </c>
      <c r="AD18" s="409" t="str">
        <v>Yes</v>
      </c>
      <c r="AE18" s="409" t="str">
        <v>FY23 inter</v>
      </c>
      <c r="AF18" s="61" t="str">
        <v>FY24 intra</v>
      </c>
      <c r="AG18" s="204" t="str">
        <v>D. Gibson</v>
      </c>
      <c r="AH18" s="204">
        <v>44477</v>
      </c>
      <c r="AI18" s="204" t="str">
        <v>I. McEwen</v>
      </c>
      <c r="AJ18" s="435">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63" t="str">
        <v/>
      </c>
      <c r="F19" s="64" t="str">
        <v/>
      </c>
      <c r="G19" s="44" t="str">
        <v>TEU=&gt;</v>
      </c>
      <c r="H19" s="63">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ht="39.75" hidden="1" customHeight="1" thickTop="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26">
        <v>12</v>
      </c>
      <c r="P20" s="443">
        <v>44503</v>
      </c>
      <c r="Q20" s="429" t="str">
        <v>UWM - PTH</v>
      </c>
      <c r="R20" s="428">
        <v>44515</v>
      </c>
      <c r="S20" s="430" t="str">
        <v xml:space="preserve"> Truck</v>
      </c>
      <c r="T20" s="440" t="str">
        <v>PTH - MCM</v>
      </c>
      <c r="U20" s="47" t="str">
        <v>-</v>
      </c>
      <c r="V20" s="432" t="str">
        <v>USAP Vessel</v>
      </c>
      <c r="W20" s="433" t="str">
        <v>USAP Vessel</v>
      </c>
      <c r="X20" s="433" t="str">
        <v>-</v>
      </c>
      <c r="Y20" s="100" t="str">
        <v>-</v>
      </c>
      <c r="Z20" s="434">
        <v>44598</v>
      </c>
      <c r="AA20" s="409" t="str">
        <v>-</v>
      </c>
      <c r="AB20" s="435" t="str">
        <v>LC-130</v>
      </c>
      <c r="AC20" s="409">
        <v>44880</v>
      </c>
      <c r="AD20" s="409" t="str">
        <v>Yes</v>
      </c>
      <c r="AE20" s="409" t="str">
        <v>FY22 inter</v>
      </c>
      <c r="AF20" s="61" t="str">
        <v>FY23 intra</v>
      </c>
      <c r="AG20" s="409" t="str">
        <v>D. Gibson</v>
      </c>
      <c r="AH20" s="61">
        <v>44477</v>
      </c>
      <c r="AI20" s="61" t="str">
        <v>I. McEwen</v>
      </c>
      <c r="AJ20" s="409">
        <v>44477</v>
      </c>
      <c r="AK20" s="61" t="str">
        <v xml:space="preserve">8' container moves with contents by LC130 or is broken down for movement by Basler. Packing in progress. </v>
      </c>
      <c r="AL20" s="9" t="str">
        <v/>
      </c>
    </row>
    <row r="21" spans="1:40" ht="47.25" hidden="1"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26">
        <v>2</v>
      </c>
      <c r="P21" s="443">
        <v>44513</v>
      </c>
      <c r="Q21" s="429" t="str">
        <v>UWM - PTH</v>
      </c>
      <c r="R21" s="428">
        <v>44515</v>
      </c>
      <c r="S21" s="430" t="str">
        <v xml:space="preserve"> Truck</v>
      </c>
      <c r="T21" s="440" t="str">
        <v>PTH - MCM</v>
      </c>
      <c r="U21" s="47" t="str">
        <v>-</v>
      </c>
      <c r="V21" s="432" t="str">
        <v>USAP Vessel</v>
      </c>
      <c r="W21" s="433" t="str">
        <v>USAP Vessel</v>
      </c>
      <c r="X21" s="433" t="str">
        <v>-</v>
      </c>
      <c r="Y21" s="100" t="str">
        <v>-</v>
      </c>
      <c r="Z21" s="434">
        <v>44598</v>
      </c>
      <c r="AA21" s="409" t="str">
        <v>-</v>
      </c>
      <c r="AB21" s="435" t="str">
        <v>LC-130/SPoT</v>
      </c>
      <c r="AC21" s="409">
        <v>44896</v>
      </c>
      <c r="AD21" s="409" t="str">
        <v>Yes</v>
      </c>
      <c r="AE21" s="409" t="str">
        <v>FY22 inter</v>
      </c>
      <c r="AF21" s="409" t="str">
        <v>FY23 intra</v>
      </c>
      <c r="AG21" s="409" t="str">
        <v>D. Gibson</v>
      </c>
      <c r="AH21" s="409">
        <v>44477</v>
      </c>
      <c r="AI21" s="409" t="str">
        <v>I. McEwen</v>
      </c>
      <c r="AJ21" s="409">
        <v>44477</v>
      </c>
      <c r="AK21" s="409" t="str">
        <v xml:space="preserve">For air shipment container contents will need to be unloaded and palletized. Container procurement delayed by shortage. Packing in progress. </v>
      </c>
      <c r="AL21" s="9" t="str">
        <v/>
      </c>
    </row>
    <row r="22" spans="1:40" ht="51" hidden="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26" t="str">
        <v>in transit</v>
      </c>
      <c r="P22" s="443">
        <v>44502</v>
      </c>
      <c r="Q22" s="429" t="str">
        <v>UWM - PTH</v>
      </c>
      <c r="R22" s="428">
        <v>44515</v>
      </c>
      <c r="S22" s="430" t="str">
        <v>Truck</v>
      </c>
      <c r="T22" s="431" t="str">
        <v>PTH - MCM</v>
      </c>
      <c r="U22" s="47" t="str">
        <v>-</v>
      </c>
      <c r="V22" s="432" t="str">
        <v>USAP Vessel</v>
      </c>
      <c r="W22" s="433" t="str">
        <v>USAP Vessel</v>
      </c>
      <c r="X22" s="433" t="str">
        <v>-</v>
      </c>
      <c r="Y22" s="100" t="str">
        <v>-</v>
      </c>
      <c r="Z22" s="434">
        <v>44598</v>
      </c>
      <c r="AA22" s="409" t="str">
        <v>-</v>
      </c>
      <c r="AB22" s="435" t="str">
        <v>LC-130/SPoT</v>
      </c>
      <c r="AC22" s="409">
        <v>44910</v>
      </c>
      <c r="AD22" s="409" t="str">
        <v>Yes</v>
      </c>
      <c r="AE22" s="409" t="str">
        <v>FY22 inter</v>
      </c>
      <c r="AF22" s="409" t="str">
        <v>FY23 intra</v>
      </c>
      <c r="AG22" s="409" t="str">
        <v>D. Gibson</v>
      </c>
      <c r="AH22" s="409">
        <v>44477</v>
      </c>
      <c r="AI22" s="409" t="str">
        <v>I. McEwen</v>
      </c>
      <c r="AJ22" s="409">
        <v>44477</v>
      </c>
      <c r="AK22" s="409" t="str">
        <v>For air shipment container contents will need to be unloaded and palletized</v>
      </c>
      <c r="AL22" s="9" t="str">
        <v/>
      </c>
    </row>
    <row r="23" spans="1:40" ht="79.5" hidden="1"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96" t="str">
        <v>in transit</v>
      </c>
      <c r="P23" s="443">
        <v>44502</v>
      </c>
      <c r="Q23" s="429" t="str">
        <v>UWM - PTH</v>
      </c>
      <c r="R23" s="428">
        <v>44515</v>
      </c>
      <c r="S23" s="430" t="str">
        <v xml:space="preserve"> Truck</v>
      </c>
      <c r="T23" s="440" t="str">
        <v>PTH - MCM</v>
      </c>
      <c r="U23" s="431" t="str">
        <v>-</v>
      </c>
      <c r="V23" s="432" t="str">
        <v>USAP Vessel</v>
      </c>
      <c r="W23" s="433" t="str">
        <v>USAP Vessel</v>
      </c>
      <c r="X23" s="433" t="str">
        <v>-</v>
      </c>
      <c r="Y23" s="100" t="str">
        <v>-</v>
      </c>
      <c r="Z23" s="434">
        <v>44598</v>
      </c>
      <c r="AA23" s="409" t="str">
        <v>-</v>
      </c>
      <c r="AB23" s="435" t="str">
        <v>LC-130/SPoT</v>
      </c>
      <c r="AC23" s="409">
        <v>44910</v>
      </c>
      <c r="AD23" s="409" t="str">
        <v>Yes*</v>
      </c>
      <c r="AE23" s="409" t="str">
        <v>FY22 inter</v>
      </c>
      <c r="AF23" s="61" t="str">
        <v>FY23 intra</v>
      </c>
      <c r="AG23" s="409" t="str">
        <v>D. Gibson</v>
      </c>
      <c r="AH23" s="61">
        <v>44477</v>
      </c>
      <c r="AI23" s="61" t="str">
        <v>I. McEwen</v>
      </c>
      <c r="AJ23" s="409">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ht="36.75" hidden="1"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26" t="str">
        <v>in transit</v>
      </c>
      <c r="P24" s="443">
        <v>44495</v>
      </c>
      <c r="Q24" s="429" t="str">
        <v>UWM - PTH</v>
      </c>
      <c r="R24" s="428">
        <v>44515</v>
      </c>
      <c r="S24" s="430" t="str">
        <v xml:space="preserve"> Truck</v>
      </c>
      <c r="T24" s="440" t="str">
        <v>PTH - MCM</v>
      </c>
      <c r="U24" s="47" t="str">
        <v>-</v>
      </c>
      <c r="V24" s="432" t="str">
        <v>USAP Vessel</v>
      </c>
      <c r="W24" s="433" t="str">
        <v>USAP Vessel</v>
      </c>
      <c r="X24" s="433" t="str">
        <v>-</v>
      </c>
      <c r="Y24" s="100" t="str">
        <v>-</v>
      </c>
      <c r="Z24" s="434">
        <v>44598</v>
      </c>
      <c r="AA24" s="409" t="str">
        <v>-</v>
      </c>
      <c r="AB24" s="435" t="str">
        <v>LC-130/SPoT</v>
      </c>
      <c r="AC24" s="409">
        <v>44927</v>
      </c>
      <c r="AD24" s="409" t="str">
        <v>Yes</v>
      </c>
      <c r="AE24" s="409" t="str">
        <v>FY22 inter</v>
      </c>
      <c r="AF24" s="61" t="str">
        <v>FY23 intra</v>
      </c>
      <c r="AG24" s="409" t="str">
        <v>D. Gibson</v>
      </c>
      <c r="AH24" s="61">
        <v>44477</v>
      </c>
      <c r="AI24" s="61" t="str">
        <v>I. McEwen</v>
      </c>
      <c r="AJ24" s="409">
        <v>44477</v>
      </c>
      <c r="AK24" s="61" t="str">
        <v>Weight from Gen 1 shipment information see picture.</v>
      </c>
      <c r="AL24" s="9" t="str">
        <v/>
      </c>
    </row>
    <row r="25" spans="1:40" ht="27.75" hidden="1"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26">
        <v>7</v>
      </c>
      <c r="P25" s="443">
        <v>44508</v>
      </c>
      <c r="Q25" s="429" t="str">
        <v>UWM - PTH</v>
      </c>
      <c r="R25" s="428">
        <v>44515</v>
      </c>
      <c r="S25" s="430" t="str">
        <v xml:space="preserve"> Truck</v>
      </c>
      <c r="T25" s="440" t="str">
        <v>PTH - MCM</v>
      </c>
      <c r="U25" s="47" t="str">
        <v>-</v>
      </c>
      <c r="V25" s="432" t="str">
        <v>USAP Vessel</v>
      </c>
      <c r="W25" s="433" t="str">
        <v>USAP Vessel</v>
      </c>
      <c r="X25" s="433" t="str">
        <v>-</v>
      </c>
      <c r="Y25" s="100" t="str">
        <v>-</v>
      </c>
      <c r="Z25" s="434">
        <v>44598</v>
      </c>
      <c r="AA25" s="409" t="str">
        <v>-</v>
      </c>
      <c r="AB25" s="435" t="str">
        <v>LC-130/SPoT</v>
      </c>
      <c r="AC25" s="409">
        <v>44927</v>
      </c>
      <c r="AD25" s="409" t="str">
        <v>Yes</v>
      </c>
      <c r="AE25" s="409" t="str">
        <v>FY22 inter</v>
      </c>
      <c r="AF25" s="61" t="str">
        <v>FY23 intra</v>
      </c>
      <c r="AG25" s="409" t="str">
        <v>D. Gibson</v>
      </c>
      <c r="AH25" s="61">
        <v>44477</v>
      </c>
      <c r="AI25" s="61" t="str">
        <v>I. McEwen</v>
      </c>
      <c r="AJ25" s="409">
        <v>44477</v>
      </c>
      <c r="AK25" s="61" t="str">
        <v xml:space="preserve">Required onsite in FS Y1 for final integration and pre-drill activities. Shrink wrap contractor rescheduled for later date. </v>
      </c>
      <c r="AL25" s="9" t="str">
        <v/>
      </c>
    </row>
    <row r="26" spans="1:40" s="13" customFormat="1" ht="68.099999999999994">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99">
        <v>381</v>
      </c>
      <c r="P26" s="429">
        <v>44301</v>
      </c>
      <c r="Q26" s="429" t="str">
        <v>UWM - PTH</v>
      </c>
      <c r="R26" s="429">
        <v>44682</v>
      </c>
      <c r="S26" s="430" t="str">
        <v>Truck</v>
      </c>
      <c r="T26" s="431" t="str">
        <v>PTH - CHC</v>
      </c>
      <c r="U26" s="458" t="str">
        <v>-</v>
      </c>
      <c r="V26" s="432" t="str">
        <v>ComSur</v>
      </c>
      <c r="W26" s="433" t="str">
        <v>CHC-MCM</v>
      </c>
      <c r="X26" s="433" t="str">
        <v>-</v>
      </c>
      <c r="Y26" s="426" t="str">
        <v>USAP Air</v>
      </c>
      <c r="Z26" s="426">
        <v>44866</v>
      </c>
      <c r="AA26" s="434" t="str">
        <v>-</v>
      </c>
      <c r="AB26" s="426" t="str">
        <v>LC-130</v>
      </c>
      <c r="AC26" s="426">
        <v>44896</v>
      </c>
      <c r="AD26" s="409" t="str">
        <v>Yes</v>
      </c>
      <c r="AE26" s="409" t="str">
        <v>FY23 inter</v>
      </c>
      <c r="AF26" s="65" t="str">
        <v>FY23 intra</v>
      </c>
      <c r="AG26" s="426" t="str">
        <v>D. Gibson</v>
      </c>
      <c r="AH26" s="205">
        <v>44477</v>
      </c>
      <c r="AI26" s="205" t="str">
        <v>I. McEwen</v>
      </c>
      <c r="AJ26" s="426">
        <v>44477</v>
      </c>
      <c r="AK26" s="65" t="str">
        <v>Weight estimated</v>
      </c>
      <c r="AL26" s="13" t="str">
        <v/>
      </c>
    </row>
    <row r="27" spans="1:40" ht="33.950000000000003" hidden="1">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35">
        <v>31</v>
      </c>
      <c r="P27" s="428">
        <v>45108</v>
      </c>
      <c r="Q27" s="429" t="str">
        <v>UWM - PTH</v>
      </c>
      <c r="R27" s="428">
        <v>45139</v>
      </c>
      <c r="S27" s="430" t="str">
        <v>Truck</v>
      </c>
      <c r="T27" s="431" t="str">
        <v>PTH - CHC</v>
      </c>
      <c r="U27" s="431" t="str">
        <v>-</v>
      </c>
      <c r="V27" s="432" t="str">
        <v>ComSur</v>
      </c>
      <c r="W27" s="433" t="str">
        <v>CHC-MCM</v>
      </c>
      <c r="X27" s="433" t="str">
        <v>-</v>
      </c>
      <c r="Y27" s="435" t="str">
        <v>USAP Air</v>
      </c>
      <c r="Z27" s="434">
        <v>45231</v>
      </c>
      <c r="AA27" s="409" t="str">
        <v>-</v>
      </c>
      <c r="AB27" s="435" t="str">
        <v>LC-130</v>
      </c>
      <c r="AC27" s="409">
        <v>45261</v>
      </c>
      <c r="AD27" s="409" t="str">
        <v>Yes</v>
      </c>
      <c r="AE27" s="409" t="str">
        <v>FY24 inter</v>
      </c>
      <c r="AF27" s="409" t="str">
        <v>FY24 intra</v>
      </c>
      <c r="AG27" s="409" t="str">
        <v>J. Kelley</v>
      </c>
      <c r="AH27" s="409">
        <v>44481</v>
      </c>
      <c r="AI27" s="409" t="str">
        <v>D. Tosi</v>
      </c>
      <c r="AJ27" s="409">
        <v>44481</v>
      </c>
      <c r="AK27" s="409" t="str">
        <v/>
      </c>
      <c r="AL27" s="9" t="str">
        <v/>
      </c>
    </row>
    <row r="28" spans="1:40" ht="33.75" hidden="1" customHeight="1">
      <c r="A28" s="35">
        <v>1.4</v>
      </c>
      <c r="B28" s="51" t="str">
        <v>Installation</v>
      </c>
      <c r="C28" s="21" t="str">
        <v>ICL patch cables and patch panels</v>
      </c>
      <c r="D28" s="1"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35">
        <v>61</v>
      </c>
      <c r="P28" s="428">
        <v>45078</v>
      </c>
      <c r="Q28" s="429" t="str">
        <v>UWM - PTH</v>
      </c>
      <c r="R28" s="428">
        <v>45139</v>
      </c>
      <c r="S28" s="430" t="str">
        <v>Truck</v>
      </c>
      <c r="T28" s="431" t="str">
        <v>PTH - CHC</v>
      </c>
      <c r="U28" s="431" t="str">
        <v>-</v>
      </c>
      <c r="V28" s="432" t="str">
        <v>ComSur</v>
      </c>
      <c r="W28" s="433" t="str">
        <v>CHC-MCM</v>
      </c>
      <c r="X28" s="433" t="str">
        <v>-</v>
      </c>
      <c r="Y28" s="435" t="str">
        <v>USAP Air</v>
      </c>
      <c r="Z28" s="434">
        <v>45231</v>
      </c>
      <c r="AA28" s="427" t="str">
        <v>-</v>
      </c>
      <c r="AB28" s="435" t="str">
        <v>LC-130</v>
      </c>
      <c r="AC28" s="409">
        <v>45261</v>
      </c>
      <c r="AD28" s="409" t="str">
        <v>Yes</v>
      </c>
      <c r="AE28" s="409" t="str">
        <v>FY24 inter</v>
      </c>
      <c r="AF28" s="409" t="str">
        <v>FY24 intra</v>
      </c>
      <c r="AG28" s="409" t="str">
        <v>J. Kelley</v>
      </c>
      <c r="AH28" s="409">
        <v>44481</v>
      </c>
      <c r="AI28" s="409" t="str">
        <v>D. Tosi</v>
      </c>
      <c r="AJ28" s="409">
        <v>44481</v>
      </c>
      <c r="AK28" s="409" t="str">
        <v xml:space="preserve">(*) storage in McMurdo pending low temperature test </v>
      </c>
      <c r="AL28" s="9" t="str">
        <v/>
      </c>
    </row>
    <row r="29" spans="1:40" s="27" customFormat="1" ht="33.950000000000003">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400">
        <v>381</v>
      </c>
      <c r="P29" s="95">
        <v>44301</v>
      </c>
      <c r="Q29" s="95" t="str">
        <v>UWM - PTH</v>
      </c>
      <c r="R29" s="95">
        <v>44682</v>
      </c>
      <c r="S29" s="430" t="str">
        <v xml:space="preserve"> Truck</v>
      </c>
      <c r="T29" s="440" t="str">
        <v>PTH - CHC</v>
      </c>
      <c r="U29" s="458" t="str">
        <v>-</v>
      </c>
      <c r="V29" s="432" t="str">
        <v>ComSur</v>
      </c>
      <c r="W29" s="79" t="str">
        <v>CHC-MCM</v>
      </c>
      <c r="X29" s="433" t="str">
        <v>-</v>
      </c>
      <c r="Y29" s="426" t="str">
        <v>USAP Air</v>
      </c>
      <c r="Z29" s="78">
        <v>44866</v>
      </c>
      <c r="AA29" s="10" t="str">
        <v>-</v>
      </c>
      <c r="AB29" s="78" t="str">
        <v xml:space="preserve">LC-130 </v>
      </c>
      <c r="AC29" s="78">
        <v>44896</v>
      </c>
      <c r="AD29" s="409" t="str">
        <v>Yes</v>
      </c>
      <c r="AE29" s="409" t="str">
        <v>FY23 inter</v>
      </c>
      <c r="AF29" s="409" t="str">
        <v>FY23 intra</v>
      </c>
      <c r="AG29" s="78" t="str">
        <v>D. Gibson</v>
      </c>
      <c r="AH29" s="206">
        <v>44477</v>
      </c>
      <c r="AI29" s="206" t="str">
        <v>I. McEwen</v>
      </c>
      <c r="AJ29" s="206">
        <v>44477</v>
      </c>
      <c r="AK29" s="66" t="str">
        <v/>
      </c>
      <c r="AL29" s="27" t="str">
        <v/>
      </c>
    </row>
    <row r="30" spans="1:40" s="27" customFormat="1" ht="33.950000000000003">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400">
        <v>381</v>
      </c>
      <c r="P30" s="95">
        <v>44301</v>
      </c>
      <c r="Q30" s="95" t="str">
        <v>UWM - PTH</v>
      </c>
      <c r="R30" s="95">
        <v>44682</v>
      </c>
      <c r="S30" s="430" t="str">
        <v xml:space="preserve"> Truck</v>
      </c>
      <c r="T30" s="440" t="str">
        <v>PTH - CHC</v>
      </c>
      <c r="U30" s="458" t="str">
        <v>-</v>
      </c>
      <c r="V30" s="432" t="str">
        <v>ComSur</v>
      </c>
      <c r="W30" s="79" t="str">
        <v>CHC-MCM</v>
      </c>
      <c r="X30" s="433" t="str">
        <v>-</v>
      </c>
      <c r="Y30" s="426" t="str">
        <v>USAP Air</v>
      </c>
      <c r="Z30" s="78">
        <v>44866</v>
      </c>
      <c r="AA30" s="26" t="str">
        <v>-</v>
      </c>
      <c r="AB30" s="78" t="str">
        <v>LC-130/SPoT</v>
      </c>
      <c r="AC30" s="78">
        <v>44896</v>
      </c>
      <c r="AD30" s="409" t="str">
        <v>Yes</v>
      </c>
      <c r="AE30" s="409" t="str">
        <v>FY23 inter</v>
      </c>
      <c r="AF30" s="409" t="str">
        <v>FY23 intra</v>
      </c>
      <c r="AG30" s="78" t="str">
        <v>D. Gibson</v>
      </c>
      <c r="AH30" s="206">
        <v>44477</v>
      </c>
      <c r="AI30" s="206" t="str">
        <v>I. McEwen</v>
      </c>
      <c r="AJ30" s="206">
        <v>44477</v>
      </c>
      <c r="AK30" s="66" t="str">
        <v/>
      </c>
      <c r="AL30" s="27" t="str">
        <v/>
      </c>
    </row>
    <row r="31" spans="1:40" ht="41.1" hidden="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35">
        <v>157</v>
      </c>
      <c r="P31" s="428">
        <v>44358</v>
      </c>
      <c r="Q31" s="95" t="str">
        <v>UWM - PTH</v>
      </c>
      <c r="R31" s="428">
        <v>44515</v>
      </c>
      <c r="S31" s="430" t="str">
        <v>Truck</v>
      </c>
      <c r="T31" s="12" t="str">
        <v>PTH - MCM</v>
      </c>
      <c r="U31" s="431" t="str">
        <v>-</v>
      </c>
      <c r="V31" s="39" t="str">
        <v>USAP Vessel</v>
      </c>
      <c r="W31" s="433" t="str">
        <v>USAP Vessel</v>
      </c>
      <c r="X31" s="433" t="str">
        <v>-</v>
      </c>
      <c r="Y31" s="100" t="str">
        <v>-</v>
      </c>
      <c r="Z31" s="434">
        <v>44598</v>
      </c>
      <c r="AA31" s="409" t="str">
        <v>-</v>
      </c>
      <c r="AB31" s="435" t="str">
        <v>LC-130/SPoT</v>
      </c>
      <c r="AC31" s="409">
        <v>45261</v>
      </c>
      <c r="AD31" s="409" t="str">
        <v>Yes</v>
      </c>
      <c r="AE31" s="409" t="str">
        <v>FY22 inter</v>
      </c>
      <c r="AF31" s="409" t="str">
        <v>FY24 intra</v>
      </c>
      <c r="AG31" s="409" t="str">
        <v>D. Gibson</v>
      </c>
      <c r="AH31" s="409">
        <v>44477</v>
      </c>
      <c r="AI31" s="409" t="str">
        <v>I. McEwen</v>
      </c>
      <c r="AJ31" s="409">
        <v>44477</v>
      </c>
      <c r="AK31" s="409" t="str">
        <v/>
      </c>
      <c r="AL31" s="9" t="str">
        <v/>
      </c>
    </row>
    <row r="32" spans="1:40" ht="33.950000000000003">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98">
        <v>349</v>
      </c>
      <c r="P32" s="429">
        <v>44531</v>
      </c>
      <c r="Q32" s="429" t="str">
        <v>UWM - PTH</v>
      </c>
      <c r="R32" s="429">
        <v>44880</v>
      </c>
      <c r="S32" s="430" t="str">
        <v>Truck</v>
      </c>
      <c r="T32" s="431" t="str">
        <v>PTH - MCM</v>
      </c>
      <c r="U32" s="458" t="str">
        <v>-</v>
      </c>
      <c r="V32" s="432" t="str">
        <v>USAP Vessel</v>
      </c>
      <c r="W32" s="433" t="str">
        <v>USAP Vessel</v>
      </c>
      <c r="X32" s="433" t="str">
        <v>-</v>
      </c>
      <c r="Y32" s="435" t="str">
        <v>-</v>
      </c>
      <c r="Z32" s="426">
        <v>44963</v>
      </c>
      <c r="AA32" s="409" t="str">
        <v>-</v>
      </c>
      <c r="AB32" s="435" t="str">
        <v>LC-130/SPoT</v>
      </c>
      <c r="AC32" s="435">
        <v>45323</v>
      </c>
      <c r="AD32" s="409" t="str">
        <v>No</v>
      </c>
      <c r="AE32" s="409" t="str">
        <v>FY23 inter</v>
      </c>
      <c r="AF32" s="409" t="str">
        <v>FY24 intra</v>
      </c>
      <c r="AG32" s="435" t="str">
        <v>D. Gibson</v>
      </c>
      <c r="AH32" s="435">
        <v>44477</v>
      </c>
      <c r="AI32" s="435" t="str">
        <v>I. McEwen</v>
      </c>
      <c r="AJ32" s="435">
        <v>44477</v>
      </c>
      <c r="AK32" s="409" t="str">
        <v>Weight and cube used from Gen 1 shipping label still on bull wheel.</v>
      </c>
      <c r="AL32" s="9" t="str">
        <v/>
      </c>
    </row>
    <row r="33" spans="1:38" ht="33.950000000000003">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98">
        <v>31</v>
      </c>
      <c r="P33" s="429">
        <v>44849</v>
      </c>
      <c r="Q33" s="429" t="str">
        <v>UWM - PTH</v>
      </c>
      <c r="R33" s="429">
        <v>44880</v>
      </c>
      <c r="S33" s="430" t="str">
        <v>Truck</v>
      </c>
      <c r="T33" s="431" t="str">
        <v>PTH - MCM</v>
      </c>
      <c r="U33" s="458" t="str">
        <v>-</v>
      </c>
      <c r="V33" s="432" t="str">
        <v>USAP Vessel</v>
      </c>
      <c r="W33" s="433" t="str">
        <v>USAP Vessel</v>
      </c>
      <c r="X33" s="433" t="str">
        <v>-</v>
      </c>
      <c r="Y33" s="435" t="str">
        <v>-</v>
      </c>
      <c r="Z33" s="426">
        <v>44963</v>
      </c>
      <c r="AA33" s="409" t="str">
        <v>-</v>
      </c>
      <c r="AB33" s="435" t="str">
        <v>LC-130/SPoT</v>
      </c>
      <c r="AC33" s="435">
        <v>45275</v>
      </c>
      <c r="AD33" s="409" t="str">
        <v>Yes</v>
      </c>
      <c r="AE33" s="409" t="str">
        <v>FY23 inter</v>
      </c>
      <c r="AF33" s="409" t="str">
        <v>FY24 intra</v>
      </c>
      <c r="AG33" s="435" t="str">
        <v>D. Gibson</v>
      </c>
      <c r="AH33" s="435">
        <v>44477</v>
      </c>
      <c r="AI33" s="435" t="str">
        <v>I. McEwen</v>
      </c>
      <c r="AJ33" s="435">
        <v>44477</v>
      </c>
      <c r="AK33" s="409" t="str">
        <v>Required onsite in FW YR 2 for integration - recent addition, still in development</v>
      </c>
      <c r="AL33" s="9" t="str">
        <v/>
      </c>
    </row>
    <row r="34" spans="1:38" ht="61.5"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98">
        <v>117</v>
      </c>
      <c r="P34" s="429">
        <v>44763</v>
      </c>
      <c r="Q34" s="429" t="str">
        <v>UWM - PTH</v>
      </c>
      <c r="R34" s="429">
        <v>44880</v>
      </c>
      <c r="S34" s="431" t="str">
        <v>Truck</v>
      </c>
      <c r="T34" s="431" t="str">
        <v>PTH - MCM</v>
      </c>
      <c r="U34" s="458" t="str">
        <v>-</v>
      </c>
      <c r="V34" s="433" t="str">
        <v>USAP Vessel</v>
      </c>
      <c r="W34" s="433" t="str">
        <v>USAP Vessel</v>
      </c>
      <c r="X34" s="433" t="str">
        <v>-</v>
      </c>
      <c r="Y34" s="426" t="str">
        <v>-</v>
      </c>
      <c r="Z34" s="426">
        <v>44963</v>
      </c>
      <c r="AA34" s="409" t="str">
        <v>-</v>
      </c>
      <c r="AB34" s="435" t="str">
        <v>LC-130/SPoT</v>
      </c>
      <c r="AC34" s="435">
        <v>45261</v>
      </c>
      <c r="AD34" s="409" t="str">
        <v>Yes</v>
      </c>
      <c r="AE34" s="409" t="str">
        <v>FY23 inter</v>
      </c>
      <c r="AF34" s="61" t="str">
        <v>FY24 intra</v>
      </c>
      <c r="AG34" s="435" t="str">
        <v>D. Gibson</v>
      </c>
      <c r="AH34" s="204">
        <v>44477</v>
      </c>
      <c r="AI34" s="204" t="str">
        <v>I. McEwen</v>
      </c>
      <c r="AJ34" s="435">
        <v>44477</v>
      </c>
      <c r="AK34" s="61" t="str">
        <v>Sensor Handling Facility construction scheduled to begin mid-December FY24</v>
      </c>
      <c r="AL34" s="9" t="str">
        <v/>
      </c>
    </row>
    <row r="35" spans="1:38" ht="23.25" hidden="1" customHeight="1">
      <c r="A35" s="25">
        <v>1.2</v>
      </c>
      <c r="B35" s="48" t="str">
        <v>Drill</v>
      </c>
      <c r="C35" s="1" t="str">
        <v xml:space="preserve">Spare Combo cable </v>
      </c>
      <c r="D35" s="3"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35">
        <v>31</v>
      </c>
      <c r="P35" s="428">
        <v>44849</v>
      </c>
      <c r="Q35" s="429" t="str">
        <v>UWM - PTH</v>
      </c>
      <c r="R35" s="428">
        <v>44880</v>
      </c>
      <c r="S35" s="431" t="str">
        <v>Truck</v>
      </c>
      <c r="T35" s="431" t="str">
        <v>PTH - MCM</v>
      </c>
      <c r="U35" s="431" t="str">
        <v>-</v>
      </c>
      <c r="V35" s="433" t="str">
        <v>USAP Vessel</v>
      </c>
      <c r="W35" s="433" t="str">
        <v>USAP Vessel</v>
      </c>
      <c r="X35" s="433" t="str">
        <v>-</v>
      </c>
      <c r="Y35" s="426" t="str">
        <v>-</v>
      </c>
      <c r="Z35" s="434">
        <v>45328</v>
      </c>
      <c r="AA35" s="409" t="str">
        <v>-</v>
      </c>
      <c r="AB35" s="435" t="str">
        <v>LC-130/SPoT</v>
      </c>
      <c r="AC35" s="409">
        <v>45334</v>
      </c>
      <c r="AD35" s="409" t="str">
        <v>No</v>
      </c>
      <c r="AE35" s="409" t="str">
        <v>FY24 inter</v>
      </c>
      <c r="AF35" s="409" t="str">
        <v>FY24 intra</v>
      </c>
      <c r="AG35" s="409" t="str">
        <v>D. Gibson</v>
      </c>
      <c r="AH35" s="409">
        <v>44477</v>
      </c>
      <c r="AI35" s="409" t="str">
        <v>I. McEwen</v>
      </c>
      <c r="AJ35" s="409">
        <v>44477</v>
      </c>
      <c r="AK35" s="409" t="str">
        <v>Spare required for drill season</v>
      </c>
      <c r="AL35" s="9" t="str">
        <v/>
      </c>
    </row>
    <row r="36" spans="1:38" ht="26.45" hidden="1" customHeight="1">
      <c r="A36" s="25">
        <v>1.2</v>
      </c>
      <c r="B36" s="49" t="str">
        <v>Drill</v>
      </c>
      <c r="C36" s="3" t="str">
        <v>Spare Drill Cable</v>
      </c>
      <c r="D36" s="3"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35">
        <v>31</v>
      </c>
      <c r="P36" s="428">
        <v>44849</v>
      </c>
      <c r="Q36" s="429" t="str">
        <v>UWM - PTH</v>
      </c>
      <c r="R36" s="428">
        <v>44880</v>
      </c>
      <c r="S36" s="431" t="str">
        <v>Truck</v>
      </c>
      <c r="T36" s="431" t="str">
        <v>PTH - MCM</v>
      </c>
      <c r="U36" s="431" t="str">
        <v>-</v>
      </c>
      <c r="V36" s="433" t="str">
        <v>USAP Vessel</v>
      </c>
      <c r="W36" s="433" t="str">
        <v>USAP Vessel</v>
      </c>
      <c r="X36" s="433" t="str">
        <v>-</v>
      </c>
      <c r="Y36" s="426" t="str">
        <v>-</v>
      </c>
      <c r="Z36" s="434">
        <v>45328</v>
      </c>
      <c r="AA36" s="409" t="str">
        <v>-</v>
      </c>
      <c r="AB36" s="435" t="str">
        <v>LC-130/SPoT</v>
      </c>
      <c r="AC36" s="409">
        <v>45334</v>
      </c>
      <c r="AD36" s="409" t="str">
        <v>No</v>
      </c>
      <c r="AE36" s="409" t="str">
        <v>FY24 inter</v>
      </c>
      <c r="AF36" s="409" t="str">
        <v>FY24 intra</v>
      </c>
      <c r="AG36" s="409" t="str">
        <v>D. Gibson</v>
      </c>
      <c r="AH36" s="409">
        <v>44477</v>
      </c>
      <c r="AI36" s="409" t="str">
        <v>I. McEwen</v>
      </c>
      <c r="AJ36" s="409">
        <v>44477</v>
      </c>
      <c r="AK36" s="409" t="str">
        <v>Spare required for drill season</v>
      </c>
      <c r="AL36" s="9" t="str">
        <v/>
      </c>
    </row>
    <row r="37" spans="1:38" ht="33.950000000000003" hidden="1">
      <c r="A37" s="25">
        <v>1.2</v>
      </c>
      <c r="B37" s="48" t="str">
        <v>Drill</v>
      </c>
      <c r="C37" s="3" t="str">
        <v>Computing/controls components</v>
      </c>
      <c r="D37" s="3"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35">
        <v>31</v>
      </c>
      <c r="P37" s="443">
        <v>45108</v>
      </c>
      <c r="Q37" s="429" t="str">
        <v>UWM - PTH</v>
      </c>
      <c r="R37" s="428">
        <v>45139</v>
      </c>
      <c r="S37" s="430" t="str">
        <v>Truck</v>
      </c>
      <c r="T37" s="431" t="str">
        <v>PTH - CHC</v>
      </c>
      <c r="U37" s="431" t="str">
        <v>-</v>
      </c>
      <c r="V37" s="432" t="str">
        <v>ComSur</v>
      </c>
      <c r="W37" s="433" t="str">
        <v>CHC-MCM</v>
      </c>
      <c r="X37" s="433" t="str">
        <v>-</v>
      </c>
      <c r="Y37" s="435" t="str">
        <v>USAP Air</v>
      </c>
      <c r="Z37" s="434">
        <v>45231</v>
      </c>
      <c r="AA37" s="409" t="str">
        <v>-</v>
      </c>
      <c r="AB37" s="435" t="str">
        <v>LC-130</v>
      </c>
      <c r="AC37" s="409">
        <v>45245</v>
      </c>
      <c r="AD37" s="409" t="str">
        <v>Yes</v>
      </c>
      <c r="AE37" s="409" t="str">
        <v>FY24 inter</v>
      </c>
      <c r="AF37" s="409" t="str">
        <v>FY24 intra</v>
      </c>
      <c r="AG37" s="409" t="str">
        <v>D. Gibson</v>
      </c>
      <c r="AH37" s="409">
        <v>44477</v>
      </c>
      <c r="AI37" s="409" t="str">
        <v>I. McEwen</v>
      </c>
      <c r="AJ37" s="409">
        <v>44477</v>
      </c>
      <c r="AK37" s="409" t="str">
        <v>Required onsite in FW YR 2 to support controls system tasking</v>
      </c>
      <c r="AL37" s="9" t="str">
        <v/>
      </c>
    </row>
    <row r="38" spans="1:38" ht="33.950000000000003" hidden="1">
      <c r="A38" s="25">
        <v>1.2</v>
      </c>
      <c r="B38" s="48" t="str">
        <v>Drill</v>
      </c>
      <c r="C38" s="3" t="str">
        <v>Driller resupply/refit components -  8'  Container</v>
      </c>
      <c r="D38" s="496"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35">
        <v>31</v>
      </c>
      <c r="P38" s="443">
        <v>45108</v>
      </c>
      <c r="Q38" s="429" t="str">
        <v>UWM - PTH</v>
      </c>
      <c r="R38" s="428">
        <v>45139</v>
      </c>
      <c r="S38" s="430" t="str">
        <v>Truck</v>
      </c>
      <c r="T38" s="431" t="str">
        <v>PTH - CHC</v>
      </c>
      <c r="U38" s="431" t="str">
        <v>-</v>
      </c>
      <c r="V38" s="432" t="str">
        <v>ComSur</v>
      </c>
      <c r="W38" s="433" t="str">
        <v>CHC-MCM</v>
      </c>
      <c r="X38" s="433" t="str">
        <v>-</v>
      </c>
      <c r="Y38" s="435" t="str">
        <v>USAP Air</v>
      </c>
      <c r="Z38" s="434">
        <v>45231</v>
      </c>
      <c r="AA38" s="409" t="str">
        <v>-</v>
      </c>
      <c r="AB38" s="435" t="str">
        <v>LC-130</v>
      </c>
      <c r="AC38" s="409">
        <v>45245</v>
      </c>
      <c r="AD38" s="409" t="str">
        <v>Yes</v>
      </c>
      <c r="AE38" s="409" t="str">
        <v>FY24 inter</v>
      </c>
      <c r="AF38" s="409" t="str">
        <v>FY24 intra</v>
      </c>
      <c r="AG38" s="409" t="str">
        <v>D. Gibson</v>
      </c>
      <c r="AH38" s="409">
        <v>44477</v>
      </c>
      <c r="AI38" s="409" t="str">
        <v>I. McEwen</v>
      </c>
      <c r="AJ38" s="409">
        <v>44477</v>
      </c>
      <c r="AK38" s="409" t="str">
        <v>Items identifed in prior field season - 8' container moves with contents overland or by air</v>
      </c>
      <c r="AL38" s="9" t="str">
        <v/>
      </c>
    </row>
    <row r="39" spans="1:38" ht="17.100000000000001" hidden="1">
      <c r="A39" s="25">
        <v>1.2</v>
      </c>
      <c r="B39" s="48" t="str">
        <v>Drill</v>
      </c>
      <c r="C39" s="3" t="str">
        <v>Drill refit components</v>
      </c>
      <c r="D39" s="496"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35">
        <v>31</v>
      </c>
      <c r="P39" s="428">
        <v>45108</v>
      </c>
      <c r="Q39" s="429" t="str">
        <v>UWM - PTH</v>
      </c>
      <c r="R39" s="428">
        <v>45139</v>
      </c>
      <c r="S39" s="431" t="str">
        <v>Truck</v>
      </c>
      <c r="T39" s="431" t="str">
        <v>PTH - CHC</v>
      </c>
      <c r="U39" s="431" t="str">
        <v>-</v>
      </c>
      <c r="V39" s="433" t="str">
        <v>Comsur</v>
      </c>
      <c r="W39" s="433" t="str">
        <v>CHC-MCM</v>
      </c>
      <c r="X39" s="433" t="str">
        <v>-</v>
      </c>
      <c r="Y39" s="435" t="str">
        <v>USAP Air</v>
      </c>
      <c r="Z39" s="434">
        <v>45231</v>
      </c>
      <c r="AA39" s="427" t="str">
        <v>-</v>
      </c>
      <c r="AB39" s="435" t="str">
        <v>LC-130</v>
      </c>
      <c r="AC39" s="409">
        <v>45245</v>
      </c>
      <c r="AD39" s="409" t="str">
        <v>Yes</v>
      </c>
      <c r="AE39" s="409" t="str">
        <v>FY24 inter</v>
      </c>
      <c r="AF39" s="409" t="str">
        <v>FY24 intra</v>
      </c>
      <c r="AG39" s="409" t="str">
        <v>D. Gibson</v>
      </c>
      <c r="AH39" s="409">
        <v>44477</v>
      </c>
      <c r="AI39" s="409" t="str">
        <v>I. McEwen</v>
      </c>
      <c r="AJ39" s="409">
        <v>44477</v>
      </c>
      <c r="AK39" s="409" t="str">
        <v>Items identifed in prior field season</v>
      </c>
      <c r="AL39" s="9" t="str">
        <v/>
      </c>
    </row>
    <row r="40" spans="1:38" ht="23.25" customHeight="1">
      <c r="A40" s="25">
        <v>1.2</v>
      </c>
      <c r="B40" s="48" t="str">
        <v>Drill</v>
      </c>
      <c r="C40" s="18" t="str">
        <v>Drill Heads DNF - X</v>
      </c>
      <c r="D40" s="496"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98">
        <v>440</v>
      </c>
      <c r="P40" s="429">
        <v>44440</v>
      </c>
      <c r="Q40" s="429" t="str">
        <v>UWM - PTH</v>
      </c>
      <c r="R40" s="429">
        <v>44880</v>
      </c>
      <c r="S40" s="431" t="str">
        <v>Truck</v>
      </c>
      <c r="T40" s="431" t="str">
        <v>PTH - MCM</v>
      </c>
      <c r="U40" s="458" t="str">
        <v>-</v>
      </c>
      <c r="V40" s="433" t="str">
        <v>USAP Vessel</v>
      </c>
      <c r="W40" s="433" t="str">
        <v>USAP Vessel</v>
      </c>
      <c r="X40" s="433" t="str">
        <v>-</v>
      </c>
      <c r="Y40" s="426" t="str">
        <v>-</v>
      </c>
      <c r="Z40" s="426">
        <v>44963</v>
      </c>
      <c r="AA40" s="427" t="str">
        <v>-</v>
      </c>
      <c r="AB40" s="435" t="str">
        <v>LC-130</v>
      </c>
      <c r="AC40" s="435">
        <v>44969</v>
      </c>
      <c r="AD40" s="409" t="str">
        <v>Yes</v>
      </c>
      <c r="AE40" s="409" t="str">
        <v>FY23 inter</v>
      </c>
      <c r="AF40" s="409" t="str">
        <v>FY23 intra</v>
      </c>
      <c r="AG40" s="435" t="str">
        <v>D. Gibson</v>
      </c>
      <c r="AH40" s="435">
        <v>44477</v>
      </c>
      <c r="AI40" s="435" t="str">
        <v>I. McEwen</v>
      </c>
      <c r="AJ40" s="435">
        <v>44477</v>
      </c>
      <c r="AK40" s="409" t="str">
        <v>One drill head shipped one year early for ull system wet-test</v>
      </c>
      <c r="AL40" s="9" t="str">
        <v/>
      </c>
    </row>
    <row r="41" spans="1:38" ht="23.25" hidden="1" customHeight="1">
      <c r="A41" s="25">
        <v>1.2</v>
      </c>
      <c r="B41" s="48" t="str">
        <v>Drill</v>
      </c>
      <c r="C41" s="18" t="str">
        <v>Drill Heads DNF - Y</v>
      </c>
      <c r="D41" s="496"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35">
        <v>805</v>
      </c>
      <c r="P41" s="428">
        <v>44440</v>
      </c>
      <c r="Q41" s="429" t="str">
        <v>UWM - PTH</v>
      </c>
      <c r="R41" s="428">
        <v>45245</v>
      </c>
      <c r="S41" s="431" t="str">
        <v>Truck</v>
      </c>
      <c r="T41" s="431" t="str">
        <v>PTH - MCM</v>
      </c>
      <c r="U41" s="431" t="str">
        <v>-</v>
      </c>
      <c r="V41" s="433" t="str">
        <v>USAP Vessel</v>
      </c>
      <c r="W41" s="433" t="str">
        <v>USAP Vessel</v>
      </c>
      <c r="X41" s="433" t="str">
        <v>-</v>
      </c>
      <c r="Y41" s="426" t="str">
        <v>-</v>
      </c>
      <c r="Z41" s="434">
        <v>45328</v>
      </c>
      <c r="AA41" s="427" t="str">
        <v>-</v>
      </c>
      <c r="AB41" s="435" t="str">
        <v>LC-130</v>
      </c>
      <c r="AC41" s="409">
        <v>45334</v>
      </c>
      <c r="AD41" s="409" t="str">
        <v>Yes</v>
      </c>
      <c r="AE41" s="409" t="str">
        <v>FY24 inter</v>
      </c>
      <c r="AF41" s="409" t="str">
        <v>FY24 intra</v>
      </c>
      <c r="AG41" s="409" t="str">
        <v>D. Gibson</v>
      </c>
      <c r="AH41" s="409">
        <v>44477</v>
      </c>
      <c r="AI41" s="409" t="str">
        <v>I. McEwen</v>
      </c>
      <c r="AJ41" s="409">
        <v>44477</v>
      </c>
      <c r="AK41" s="409" t="str">
        <v/>
      </c>
      <c r="AL41" s="9" t="str">
        <v/>
      </c>
    </row>
    <row r="42" spans="1:38" ht="22.5" hidden="1" customHeight="1">
      <c r="A42" s="25">
        <v>1.2</v>
      </c>
      <c r="B42" s="48" t="str">
        <v>Drill</v>
      </c>
      <c r="C42" s="18" t="str">
        <v>Drill Heads DNF - R</v>
      </c>
      <c r="D42" s="496"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35">
        <v>805</v>
      </c>
      <c r="P42" s="428">
        <v>44440</v>
      </c>
      <c r="Q42" s="429" t="str">
        <v>UWM - PTH</v>
      </c>
      <c r="R42" s="428">
        <v>45245</v>
      </c>
      <c r="S42" s="431" t="str">
        <v>Truck</v>
      </c>
      <c r="T42" s="431" t="str">
        <v>PTH - MCM</v>
      </c>
      <c r="U42" s="431" t="str">
        <v>-</v>
      </c>
      <c r="V42" s="433" t="str">
        <v>USAP Vessel</v>
      </c>
      <c r="W42" s="433" t="str">
        <v>USAP Vessel</v>
      </c>
      <c r="X42" s="433" t="str">
        <v>-</v>
      </c>
      <c r="Y42" s="426" t="str">
        <v>-</v>
      </c>
      <c r="Z42" s="434">
        <v>45328</v>
      </c>
      <c r="AA42" s="427" t="str">
        <v>-</v>
      </c>
      <c r="AB42" s="435" t="str">
        <v>LC-130</v>
      </c>
      <c r="AC42" s="409">
        <v>45334</v>
      </c>
      <c r="AD42" s="409" t="str">
        <v>Yes</v>
      </c>
      <c r="AE42" s="409" t="str">
        <v>FY24 inter</v>
      </c>
      <c r="AF42" s="409" t="str">
        <v>FY24 intra</v>
      </c>
      <c r="AG42" s="409" t="str">
        <v>D. Gibson</v>
      </c>
      <c r="AH42" s="409">
        <v>44477</v>
      </c>
      <c r="AI42" s="409" t="str">
        <v>I. McEwen</v>
      </c>
      <c r="AJ42" s="409">
        <v>44477</v>
      </c>
      <c r="AK42" s="409" t="str">
        <v/>
      </c>
      <c r="AL42" s="9" t="str">
        <v/>
      </c>
    </row>
    <row r="43" spans="1:38" ht="34.5" hidden="1" customHeight="1">
      <c r="A43" s="25">
        <v>1.2</v>
      </c>
      <c r="B43" s="48" t="str">
        <v>Drill</v>
      </c>
      <c r="C43" s="3" t="str">
        <v>Computing/controls components</v>
      </c>
      <c r="D43" s="496" t="str">
        <v>Computing and controls equipment (Sensor, motor drives and other sensitive electronics) - Do Not Freeze</v>
      </c>
      <c r="E43" s="4">
        <v>96</v>
      </c>
      <c r="F43" s="4">
        <v>48</v>
      </c>
      <c r="G43" s="4">
        <v>48</v>
      </c>
      <c r="H43" s="23">
        <v>1</v>
      </c>
      <c r="I43" s="22">
        <v>128</v>
      </c>
      <c r="J43" s="22">
        <v>3000</v>
      </c>
      <c r="K43" s="4">
        <v>3000</v>
      </c>
      <c r="L43" s="23" t="str">
        <v>estimated</v>
      </c>
      <c r="M43" s="6" t="str">
        <v>DNF</v>
      </c>
      <c r="N43" s="427" t="str">
        <v xml:space="preserve"> U. Wisc. Madison</v>
      </c>
      <c r="O43" s="435">
        <v>31</v>
      </c>
      <c r="P43" s="443">
        <v>45474</v>
      </c>
      <c r="Q43" s="429" t="str">
        <v>UWM - PTH</v>
      </c>
      <c r="R43" s="428">
        <v>45505</v>
      </c>
      <c r="S43" s="430" t="str">
        <v>Truck</v>
      </c>
      <c r="T43" s="431" t="str">
        <v>PTH - CHC</v>
      </c>
      <c r="U43" s="431" t="str">
        <v>-</v>
      </c>
      <c r="V43" s="432" t="str">
        <v>ComSur</v>
      </c>
      <c r="W43" s="433" t="str">
        <v>CHC-MCM</v>
      </c>
      <c r="X43" s="433" t="str">
        <v>-</v>
      </c>
      <c r="Y43" s="435" t="str">
        <v>USAP Air</v>
      </c>
      <c r="Z43" s="434">
        <v>45597</v>
      </c>
      <c r="AA43" s="409" t="str">
        <v>-</v>
      </c>
      <c r="AB43" s="435" t="str">
        <v>LC-130</v>
      </c>
      <c r="AC43" s="409">
        <v>45611</v>
      </c>
      <c r="AD43" s="409" t="str">
        <v>Yes</v>
      </c>
      <c r="AE43" s="409" t="str">
        <v>FY25 inter</v>
      </c>
      <c r="AF43" s="409" t="str">
        <v>FY25 intra</v>
      </c>
      <c r="AG43" s="409" t="str">
        <v>D. Gibson</v>
      </c>
      <c r="AH43" s="409">
        <v>44477</v>
      </c>
      <c r="AI43" s="409" t="str">
        <v>I. McEwen</v>
      </c>
      <c r="AJ43" s="409">
        <v>44477</v>
      </c>
      <c r="AK43" s="409" t="str">
        <v/>
      </c>
      <c r="AL43" s="9" t="str">
        <v/>
      </c>
    </row>
    <row r="44" spans="1:38" ht="21.75" hidden="1" customHeight="1">
      <c r="A44" s="67">
        <v>1.2</v>
      </c>
      <c r="B44" s="68" t="str">
        <v>Installation</v>
      </c>
      <c r="C44" s="19" t="str">
        <v xml:space="preserve">Installation Hardware  87-93 </v>
      </c>
      <c r="D44" s="19"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35">
        <v>123</v>
      </c>
      <c r="P44" s="443">
        <v>45122</v>
      </c>
      <c r="Q44" s="429" t="str">
        <v>UWM - PTH</v>
      </c>
      <c r="R44" s="428">
        <v>45245</v>
      </c>
      <c r="S44" s="430" t="str">
        <v>Truck</v>
      </c>
      <c r="T44" s="431" t="str">
        <v>PTH - MCM</v>
      </c>
      <c r="U44" s="431" t="str">
        <v>-</v>
      </c>
      <c r="V44" s="433" t="str">
        <v>USAP Vessel</v>
      </c>
      <c r="W44" s="433" t="str">
        <v>USAP Vessel</v>
      </c>
      <c r="X44" s="433" t="str">
        <v>-</v>
      </c>
      <c r="Y44" s="426" t="str">
        <v>-</v>
      </c>
      <c r="Z44" s="434">
        <v>45328</v>
      </c>
      <c r="AA44" s="427" t="str">
        <v>-</v>
      </c>
      <c r="AB44" s="435" t="str">
        <v>LC-130</v>
      </c>
      <c r="AC44" s="409">
        <v>45337</v>
      </c>
      <c r="AD44" s="409" t="str">
        <v>Yes</v>
      </c>
      <c r="AE44" s="409" t="str">
        <v>FY24 inter</v>
      </c>
      <c r="AF44" s="409" t="str">
        <v>FY24 intra</v>
      </c>
      <c r="AG44" s="409" t="str">
        <v>D. Tosi</v>
      </c>
      <c r="AH44" s="409">
        <v>44461</v>
      </c>
      <c r="AI44" s="409" t="str">
        <v>I. McEwen</v>
      </c>
      <c r="AJ44" s="409">
        <v>44461</v>
      </c>
      <c r="AK44" s="409" t="str">
        <v/>
      </c>
      <c r="AL44" s="9" t="str">
        <v/>
      </c>
    </row>
    <row r="45" spans="1:38" ht="32.450000000000003" hidden="1"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35">
        <v>123</v>
      </c>
      <c r="P45" s="443">
        <v>45122</v>
      </c>
      <c r="Q45" s="429" t="str">
        <v>UWM - PTH</v>
      </c>
      <c r="R45" s="428">
        <v>45245</v>
      </c>
      <c r="S45" s="430" t="str">
        <v>Truck</v>
      </c>
      <c r="T45" s="431" t="str">
        <v>PTH - MCM</v>
      </c>
      <c r="U45" s="431" t="str">
        <v>-</v>
      </c>
      <c r="V45" s="433" t="str">
        <v>USAP Vessel</v>
      </c>
      <c r="W45" s="433" t="str">
        <v>USAP Vessel</v>
      </c>
      <c r="X45" s="433" t="str">
        <v>-</v>
      </c>
      <c r="Y45" s="426" t="str">
        <v>-</v>
      </c>
      <c r="Z45" s="434">
        <v>45328</v>
      </c>
      <c r="AA45" s="427" t="str">
        <v>-</v>
      </c>
      <c r="AB45" s="435" t="str">
        <v>LC-130</v>
      </c>
      <c r="AC45" s="409">
        <v>45337</v>
      </c>
      <c r="AD45" s="409" t="str">
        <v>Yes</v>
      </c>
      <c r="AE45" s="409" t="str">
        <v>FY24 inter</v>
      </c>
      <c r="AF45" s="409" t="str">
        <v>FY24 intra</v>
      </c>
      <c r="AG45" s="409" t="str">
        <v>D. Tosi</v>
      </c>
      <c r="AH45" s="409">
        <v>44461</v>
      </c>
      <c r="AI45" s="409" t="str">
        <v>I. McEwen</v>
      </c>
      <c r="AJ45" s="409">
        <v>44461</v>
      </c>
      <c r="AK45" s="409" t="str">
        <v/>
      </c>
      <c r="AL45" s="9" t="str">
        <v/>
      </c>
    </row>
    <row r="46" spans="1:38" ht="33.950000000000003" hidden="1">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35">
        <v>244</v>
      </c>
      <c r="P46" s="443">
        <v>44895</v>
      </c>
      <c r="Q46" s="429" t="str">
        <v>UWM - PTH</v>
      </c>
      <c r="R46" s="428">
        <v>45139</v>
      </c>
      <c r="S46" s="430" t="str">
        <v>Truck</v>
      </c>
      <c r="T46" s="431" t="str">
        <v>PTH - CHC</v>
      </c>
      <c r="U46" s="431" t="str">
        <v>-</v>
      </c>
      <c r="V46" s="433" t="str">
        <v>ComSur</v>
      </c>
      <c r="W46" s="433" t="str">
        <v>CHC-MCM</v>
      </c>
      <c r="X46" s="433" t="str">
        <v>-</v>
      </c>
      <c r="Y46" s="435" t="str">
        <v>USAP Air</v>
      </c>
      <c r="Z46" s="434">
        <v>45231</v>
      </c>
      <c r="AA46" s="409" t="str">
        <v>-</v>
      </c>
      <c r="AB46" s="435" t="str">
        <v>LC-130</v>
      </c>
      <c r="AC46" s="409">
        <v>45275</v>
      </c>
      <c r="AD46" s="409" t="str">
        <v>Yes</v>
      </c>
      <c r="AE46" s="409" t="str">
        <v>FY24 inter</v>
      </c>
      <c r="AF46" s="409" t="str">
        <v>FY24 intra</v>
      </c>
      <c r="AG46" s="409" t="str">
        <v>D. Williams</v>
      </c>
      <c r="AH46" s="409">
        <v>44482</v>
      </c>
      <c r="AI46" s="409" t="str">
        <v>D. Tosi</v>
      </c>
      <c r="AJ46" s="409">
        <v>44482</v>
      </c>
      <c r="AK46" s="409" t="str">
        <v/>
      </c>
      <c r="AL46" s="9" t="str">
        <v/>
      </c>
    </row>
    <row r="47" spans="1:38" ht="68.099999999999994" hidden="1">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35">
        <v>212</v>
      </c>
      <c r="P47" s="443">
        <v>44927</v>
      </c>
      <c r="Q47" s="429" t="str">
        <v>UWM - PTH</v>
      </c>
      <c r="R47" s="428">
        <v>45139</v>
      </c>
      <c r="S47" s="430" t="str">
        <v>Truck</v>
      </c>
      <c r="T47" s="431" t="str">
        <v>PTH - CHC</v>
      </c>
      <c r="U47" s="431" t="str">
        <v>-</v>
      </c>
      <c r="V47" s="433" t="str">
        <v>ComSur</v>
      </c>
      <c r="W47" s="433" t="str">
        <v>CHC-MCM</v>
      </c>
      <c r="X47" s="433" t="str">
        <v>-</v>
      </c>
      <c r="Y47" s="435" t="str">
        <v>USAP Air</v>
      </c>
      <c r="Z47" s="434">
        <v>45231</v>
      </c>
      <c r="AA47" s="427" t="str">
        <v>-</v>
      </c>
      <c r="AB47" s="435" t="str">
        <v>LC-130</v>
      </c>
      <c r="AC47" s="409">
        <v>45275</v>
      </c>
      <c r="AD47" s="409" t="str">
        <v>Yes</v>
      </c>
      <c r="AE47" s="409" t="str">
        <v>FY24 inter</v>
      </c>
      <c r="AF47" s="409" t="str">
        <v>FY24 intra</v>
      </c>
      <c r="AG47" s="409" t="str">
        <v>S. Boeser</v>
      </c>
      <c r="AH47" s="409">
        <v>44482</v>
      </c>
      <c r="AI47" s="409" t="str">
        <v>D. Tosi</v>
      </c>
      <c r="AJ47" s="409">
        <v>44482</v>
      </c>
      <c r="AK47" s="409" t="str">
        <v>4+1 Radio Pulser, weight  50 kg. 1+1 Radio receiver, assume mDOM weight, 3+1 FOM (assume mDOM weight) + 2ftx2ftx4ft FOM box (50 lbs).  Special Devices from UW. FTS, seismometer missing from estimate.  250 lbs crate estimate</v>
      </c>
      <c r="AL47" s="9" t="str">
        <v/>
      </c>
    </row>
    <row r="48" spans="1:38" ht="30" hidden="1"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35">
        <v>61</v>
      </c>
      <c r="P48" s="428">
        <v>45078</v>
      </c>
      <c r="Q48" s="429" t="str">
        <v>UWM - PTH</v>
      </c>
      <c r="R48" s="428">
        <v>45139</v>
      </c>
      <c r="S48" s="430" t="str">
        <v>Truck</v>
      </c>
      <c r="T48" s="431" t="str">
        <v>PTH - CHC</v>
      </c>
      <c r="U48" s="431" t="str">
        <v>-</v>
      </c>
      <c r="V48" s="433" t="str">
        <v>ComSur</v>
      </c>
      <c r="W48" s="433" t="str">
        <v>CHC-MCM</v>
      </c>
      <c r="X48" s="433" t="str">
        <v>-</v>
      </c>
      <c r="Y48" s="435" t="str">
        <v>USAP Air</v>
      </c>
      <c r="Z48" s="434">
        <v>45231</v>
      </c>
      <c r="AA48" s="427" t="str">
        <v>-</v>
      </c>
      <c r="AB48" s="435" t="str">
        <v>LC-130</v>
      </c>
      <c r="AC48" s="409">
        <v>45261</v>
      </c>
      <c r="AD48" s="409" t="str">
        <v>Yes</v>
      </c>
      <c r="AE48" s="409" t="str">
        <v>FY24 inter</v>
      </c>
      <c r="AF48" s="409" t="str">
        <v>FY24 intra</v>
      </c>
      <c r="AG48" s="409" t="str">
        <v>T. Karg</v>
      </c>
      <c r="AH48" s="409">
        <v>44477</v>
      </c>
      <c r="AI48" s="409" t="str">
        <v>D. Tosi</v>
      </c>
      <c r="AJ48" s="409">
        <v>44477</v>
      </c>
      <c r="AK48" s="409" t="str">
        <v/>
      </c>
      <c r="AL48" s="9" t="str">
        <v/>
      </c>
    </row>
    <row r="49" spans="1:40" ht="32.450000000000003" hidden="1" customHeight="1">
      <c r="A49" s="25">
        <v>1.3</v>
      </c>
      <c r="B49" s="48" t="str">
        <v>Installation</v>
      </c>
      <c r="C49" s="71" t="str">
        <v>Special Devices 89-93</v>
      </c>
      <c r="D49" s="3" t="str">
        <v>Special devices for 5 remaining strings from UW (4+1 FOM,2+1 Radio Receivers, 11+1 LOM + seismometer*) - Do Not Deep Freeze</v>
      </c>
      <c r="E49" s="23">
        <v>81</v>
      </c>
      <c r="F49" s="23">
        <v>56</v>
      </c>
      <c r="G49" s="23">
        <v>51</v>
      </c>
      <c r="H49" s="23">
        <v>1</v>
      </c>
      <c r="I49" s="22">
        <v>133.875</v>
      </c>
      <c r="J49" s="22">
        <v>1797</v>
      </c>
      <c r="K49" s="4">
        <v>1797</v>
      </c>
      <c r="L49" s="445" t="str">
        <v>estimated</v>
      </c>
      <c r="M49" s="6" t="str">
        <v>DNDF [-40C]</v>
      </c>
      <c r="N49" s="10" t="str">
        <v>UWM/Kansas</v>
      </c>
      <c r="O49" s="435">
        <v>213</v>
      </c>
      <c r="P49" s="443">
        <v>45292</v>
      </c>
      <c r="Q49" s="429" t="str">
        <v>UWM - PTH</v>
      </c>
      <c r="R49" s="428">
        <v>45505</v>
      </c>
      <c r="S49" s="430" t="str">
        <v>Truck</v>
      </c>
      <c r="T49" s="431" t="str">
        <v>PTH - CHC</v>
      </c>
      <c r="U49" s="431" t="str">
        <v>-</v>
      </c>
      <c r="V49" s="433" t="str">
        <v>ComAir</v>
      </c>
      <c r="W49" s="433" t="str">
        <v>CHC-MCM</v>
      </c>
      <c r="X49" s="433" t="str">
        <v>-</v>
      </c>
      <c r="Y49" s="435" t="str">
        <v>USAP Air</v>
      </c>
      <c r="Z49" s="434">
        <v>45597</v>
      </c>
      <c r="AA49" s="427" t="str">
        <v>-</v>
      </c>
      <c r="AB49" s="435" t="str">
        <v>LC-130</v>
      </c>
      <c r="AC49" s="409">
        <v>45621</v>
      </c>
      <c r="AD49" s="409" t="str">
        <v>Yes</v>
      </c>
      <c r="AE49" s="409" t="str">
        <v>FY25 inter</v>
      </c>
      <c r="AF49" s="409" t="str">
        <v>FY25 intra</v>
      </c>
      <c r="AG49" s="409" t="str">
        <v>S. Boeser</v>
      </c>
      <c r="AH49" s="409">
        <v>44482</v>
      </c>
      <c r="AI49" s="409" t="str">
        <v>D. Tosi</v>
      </c>
      <c r="AJ49" s="409">
        <v>44482</v>
      </c>
      <c r="AK49" s="409" t="str">
        <v xml:space="preserve">21 Special Devices from USA (11+ 1 LOM, 4+1 FOM, 2+1 RR, FTS ? , seismometer), assume mDOM weight. 200 lbs wood crate. FTS not included. (*) Seismometer not yet in CMD </v>
      </c>
      <c r="AL49" s="9" t="str">
        <v/>
      </c>
    </row>
    <row r="50" spans="1:40" ht="32.450000000000003" hidden="1" customHeight="1">
      <c r="A50" s="25">
        <v>1.5</v>
      </c>
      <c r="B50" s="48" t="str">
        <v>Installation</v>
      </c>
      <c r="C50" s="3" t="str">
        <v>Calibration/Special Devices  89-93</v>
      </c>
      <c r="D50" s="3" t="str">
        <v>8+1 PencilBeams, 12+1 pDOMs from UW - Do Not Deep Freeze</v>
      </c>
      <c r="E50" s="23">
        <v>75</v>
      </c>
      <c r="F50" s="23">
        <v>56.5</v>
      </c>
      <c r="G50" s="445">
        <v>41</v>
      </c>
      <c r="H50" s="23">
        <v>1</v>
      </c>
      <c r="I50" s="22">
        <v>100.54253472222223</v>
      </c>
      <c r="J50" s="22">
        <v>1602</v>
      </c>
      <c r="K50" s="4">
        <v>1602</v>
      </c>
      <c r="L50" s="23" t="str">
        <v>preliminary</v>
      </c>
      <c r="M50" s="6" t="str">
        <v>DNDF [-40C]</v>
      </c>
      <c r="N50" s="427" t="str">
        <v xml:space="preserve"> U. Wisc. Madison</v>
      </c>
      <c r="O50" s="435">
        <v>352</v>
      </c>
      <c r="P50" s="428">
        <v>45153</v>
      </c>
      <c r="Q50" s="429" t="str">
        <v>UWM - PTH</v>
      </c>
      <c r="R50" s="428">
        <v>45505</v>
      </c>
      <c r="S50" s="430" t="str">
        <v>Truck</v>
      </c>
      <c r="T50" s="431" t="str">
        <v>PTH - CHC</v>
      </c>
      <c r="U50" s="431" t="str">
        <v>-</v>
      </c>
      <c r="V50" s="433" t="str">
        <v>ComSur</v>
      </c>
      <c r="W50" s="433" t="str">
        <v>CHC-MCM</v>
      </c>
      <c r="X50" s="433" t="str">
        <v>-</v>
      </c>
      <c r="Y50" s="435" t="str">
        <v>USAP Air</v>
      </c>
      <c r="Z50" s="434">
        <v>45597</v>
      </c>
      <c r="AA50" s="427" t="str">
        <v>-</v>
      </c>
      <c r="AB50" s="435" t="str">
        <v>LC-130</v>
      </c>
      <c r="AC50" s="409">
        <v>45621</v>
      </c>
      <c r="AD50" s="409" t="str">
        <v>Yes</v>
      </c>
      <c r="AE50" s="409" t="str">
        <v>FY25 inter</v>
      </c>
      <c r="AF50" s="409" t="str">
        <v>FY25 intra</v>
      </c>
      <c r="AG50" s="409" t="str">
        <v>D. Williams</v>
      </c>
      <c r="AH50" s="409">
        <v>44482</v>
      </c>
      <c r="AI50" s="409" t="str">
        <v>D. Tosi</v>
      </c>
      <c r="AJ50" s="409">
        <v>44474</v>
      </c>
      <c r="AK50" s="409" t="str">
        <v xml:space="preserve">8+1 PencilBeams for strings 89-93, 12+1 pDOMs, assume mDOM weight. 244 lbs crate. </v>
      </c>
      <c r="AL50" s="9" t="str">
        <v/>
      </c>
    </row>
    <row r="51" spans="1:40" ht="27" hidden="1" customHeight="1">
      <c r="A51" s="37">
        <v>1.2</v>
      </c>
      <c r="B51" s="70" t="str">
        <v>Installation</v>
      </c>
      <c r="C51" s="1" t="str">
        <v>Misc. Science Equipment - FY25</v>
      </c>
      <c r="D51" s="1" t="str">
        <v>Scientific and test equipment  (Handheld test devices, Paros, et al.) - Do Not Freeze</v>
      </c>
      <c r="E51" s="38">
        <v>48</v>
      </c>
      <c r="F51" s="38">
        <v>48</v>
      </c>
      <c r="G51" s="38">
        <v>48</v>
      </c>
      <c r="H51" s="23">
        <v>1</v>
      </c>
      <c r="I51" s="22">
        <v>64</v>
      </c>
      <c r="J51" s="22">
        <v>1500</v>
      </c>
      <c r="K51" s="4">
        <v>1500</v>
      </c>
      <c r="L51" s="449" t="str">
        <v>estimated</v>
      </c>
      <c r="M51" s="439" t="str">
        <v>DNF</v>
      </c>
      <c r="N51" s="427" t="str">
        <v xml:space="preserve"> U. Wisc. Madison</v>
      </c>
      <c r="O51" s="435">
        <v>61</v>
      </c>
      <c r="P51" s="428">
        <v>45444</v>
      </c>
      <c r="Q51" s="429" t="str">
        <v>UWM - PTH</v>
      </c>
      <c r="R51" s="428">
        <v>45505</v>
      </c>
      <c r="S51" s="430" t="str">
        <v>Truck</v>
      </c>
      <c r="T51" s="431" t="str">
        <v>PTH - CHC</v>
      </c>
      <c r="U51" s="431" t="str">
        <v>-</v>
      </c>
      <c r="V51" s="433" t="str">
        <v>ComSur</v>
      </c>
      <c r="W51" s="433" t="str">
        <v>CHC-MCM</v>
      </c>
      <c r="X51" s="433" t="str">
        <v>-</v>
      </c>
      <c r="Y51" s="435" t="str">
        <v>USAP Air</v>
      </c>
      <c r="Z51" s="434">
        <v>45597</v>
      </c>
      <c r="AA51" s="427" t="str">
        <v>-</v>
      </c>
      <c r="AB51" s="435" t="str">
        <v>LC-130</v>
      </c>
      <c r="AC51" s="409">
        <v>45627</v>
      </c>
      <c r="AD51" s="409" t="str">
        <v>Yes</v>
      </c>
      <c r="AE51" s="409" t="str">
        <v>FY25 inter</v>
      </c>
      <c r="AF51" s="409" t="str">
        <v>FY25 intra</v>
      </c>
      <c r="AG51" s="409" t="str">
        <v>D. Tosi</v>
      </c>
      <c r="AH51" s="409">
        <v>44477</v>
      </c>
      <c r="AI51" s="409" t="str">
        <v>D. Tosi</v>
      </c>
      <c r="AJ51" s="409">
        <v>44477</v>
      </c>
      <c r="AK51" s="409" t="str">
        <v/>
      </c>
      <c r="AL51" s="9" t="str">
        <v/>
      </c>
    </row>
    <row r="52" spans="1:40" ht="33.950000000000003" hidden="1">
      <c r="A52" s="25">
        <v>1.5</v>
      </c>
      <c r="B52" s="48" t="str">
        <v>Installation</v>
      </c>
      <c r="C52" s="3" t="str">
        <v>Dust logging device</v>
      </c>
      <c r="D52" s="3" t="str">
        <v>Blue Logging device - sensitive equipment - Do Not Freeze</v>
      </c>
      <c r="E52" s="23">
        <v>48</v>
      </c>
      <c r="F52" s="23">
        <v>17</v>
      </c>
      <c r="G52" s="23">
        <v>17</v>
      </c>
      <c r="H52" s="23">
        <v>1</v>
      </c>
      <c r="I52" s="22">
        <v>8.0277777777777786</v>
      </c>
      <c r="J52" s="22">
        <v>60</v>
      </c>
      <c r="K52" s="4">
        <v>60</v>
      </c>
      <c r="L52" s="445" t="str">
        <v>actual</v>
      </c>
      <c r="M52" s="436" t="str">
        <v>DNF</v>
      </c>
      <c r="N52" s="427" t="str">
        <v xml:space="preserve"> U. Wisc. Madison</v>
      </c>
      <c r="O52" s="435">
        <v>61</v>
      </c>
      <c r="P52" s="443">
        <v>45444</v>
      </c>
      <c r="Q52" s="429" t="str">
        <v>UWM - PTH</v>
      </c>
      <c r="R52" s="428">
        <v>45505</v>
      </c>
      <c r="S52" s="430" t="str">
        <v>Truck</v>
      </c>
      <c r="T52" s="431" t="str">
        <v>PTH - CHC</v>
      </c>
      <c r="U52" s="431" t="str">
        <v>-</v>
      </c>
      <c r="V52" s="433" t="str">
        <v>ComAir</v>
      </c>
      <c r="W52" s="433" t="str">
        <v>CHC-MCM</v>
      </c>
      <c r="X52" s="433" t="str">
        <v>-</v>
      </c>
      <c r="Y52" s="435" t="str">
        <v>USAP Air</v>
      </c>
      <c r="Z52" s="434">
        <v>45597</v>
      </c>
      <c r="AA52" s="427" t="str">
        <v>-</v>
      </c>
      <c r="AB52" s="435" t="str">
        <v>LC-130</v>
      </c>
      <c r="AC52" s="409">
        <v>45621</v>
      </c>
      <c r="AD52" s="409" t="str">
        <v>Yes</v>
      </c>
      <c r="AE52" s="409" t="str">
        <v>FY25 inter</v>
      </c>
      <c r="AF52" s="409" t="str">
        <v>FY25 intra</v>
      </c>
      <c r="AG52" s="409" t="str">
        <v>D. Williams</v>
      </c>
      <c r="AH52" s="409">
        <v>44483</v>
      </c>
      <c r="AI52" s="409" t="str">
        <v>D. Tosi</v>
      </c>
      <c r="AJ52" s="409">
        <v>44457</v>
      </c>
      <c r="AK52" s="409" t="str">
        <v>Used weights from last deployment season shipment data (could be combined)</v>
      </c>
      <c r="AL52" s="9" t="str">
        <v/>
      </c>
    </row>
    <row r="53" spans="1:40" ht="33.950000000000003" hidden="1">
      <c r="A53" s="25">
        <v>1.5</v>
      </c>
      <c r="B53" s="48" t="str">
        <v>Installation</v>
      </c>
      <c r="C53" s="3" t="str">
        <v>Dust logging device</v>
      </c>
      <c r="D53" s="3" t="str">
        <v>Green Logging device - sensitive equipment - Do Not Freeze</v>
      </c>
      <c r="E53" s="23">
        <v>48</v>
      </c>
      <c r="F53" s="23">
        <v>17</v>
      </c>
      <c r="G53" s="23">
        <v>17</v>
      </c>
      <c r="H53" s="23">
        <v>1</v>
      </c>
      <c r="I53" s="22">
        <v>8.0277777777777786</v>
      </c>
      <c r="J53" s="22">
        <v>60</v>
      </c>
      <c r="K53" s="4">
        <v>60</v>
      </c>
      <c r="L53" s="445" t="str">
        <v>actual</v>
      </c>
      <c r="M53" s="436" t="str">
        <v>DNF</v>
      </c>
      <c r="N53" s="427" t="str">
        <v xml:space="preserve"> U. Wisc. Madison</v>
      </c>
      <c r="O53" s="435">
        <v>61</v>
      </c>
      <c r="P53" s="443">
        <v>45444</v>
      </c>
      <c r="Q53" s="429" t="str">
        <v>UWM - PTH</v>
      </c>
      <c r="R53" s="428">
        <v>45505</v>
      </c>
      <c r="S53" s="430" t="str">
        <v>Truck</v>
      </c>
      <c r="T53" s="431" t="str">
        <v>PTH - CHC</v>
      </c>
      <c r="U53" s="431" t="str">
        <v>-</v>
      </c>
      <c r="V53" s="433" t="str">
        <v>ComAir</v>
      </c>
      <c r="W53" s="433" t="str">
        <v>CHC-MCM</v>
      </c>
      <c r="X53" s="433" t="str">
        <v>-</v>
      </c>
      <c r="Y53" s="435" t="str">
        <v>USAP Air</v>
      </c>
      <c r="Z53" s="434">
        <v>45597</v>
      </c>
      <c r="AA53" s="427" t="str">
        <v>-</v>
      </c>
      <c r="AB53" s="435" t="str">
        <v>LC-130</v>
      </c>
      <c r="AC53" s="409">
        <v>45621</v>
      </c>
      <c r="AD53" s="409" t="str">
        <v>Yes</v>
      </c>
      <c r="AE53" s="409" t="str">
        <v>FY25 inter</v>
      </c>
      <c r="AF53" s="409" t="str">
        <v>FY25 intra</v>
      </c>
      <c r="AG53" s="409" t="str">
        <v>D. Williams</v>
      </c>
      <c r="AH53" s="409">
        <v>44483</v>
      </c>
      <c r="AI53" s="409" t="str">
        <v>D. Tosi</v>
      </c>
      <c r="AJ53" s="409">
        <v>44458</v>
      </c>
      <c r="AK53" s="409" t="str">
        <v>Used weights from last deployment season shipment data (could be combined)</v>
      </c>
      <c r="AL53" s="9" t="str">
        <v/>
      </c>
    </row>
    <row r="54" spans="1:40" ht="33.950000000000003" hidden="1">
      <c r="A54" s="25">
        <v>1.5</v>
      </c>
      <c r="B54" s="48" t="str">
        <v>Installation</v>
      </c>
      <c r="C54" s="3" t="str">
        <v>Dust logging device</v>
      </c>
      <c r="D54" s="3" t="str">
        <v>Electronics parts - sensitive equipment - Do Not Freeze</v>
      </c>
      <c r="E54" s="23">
        <v>26</v>
      </c>
      <c r="F54" s="23">
        <v>24</v>
      </c>
      <c r="G54" s="23">
        <v>24</v>
      </c>
      <c r="H54" s="23">
        <v>1</v>
      </c>
      <c r="I54" s="22">
        <v>8.6666666666666661</v>
      </c>
      <c r="J54" s="22">
        <v>120</v>
      </c>
      <c r="K54" s="4">
        <v>120</v>
      </c>
      <c r="L54" s="445" t="str">
        <v>actual</v>
      </c>
      <c r="M54" s="436" t="str">
        <v>DNF</v>
      </c>
      <c r="N54" s="427" t="str">
        <v xml:space="preserve"> U. Wisc. Madison</v>
      </c>
      <c r="O54" s="435">
        <v>61</v>
      </c>
      <c r="P54" s="443">
        <v>45444</v>
      </c>
      <c r="Q54" s="429" t="str">
        <v>UWM - PTH</v>
      </c>
      <c r="R54" s="428">
        <v>45505</v>
      </c>
      <c r="S54" s="430" t="str">
        <v>Truck</v>
      </c>
      <c r="T54" s="431" t="str">
        <v>PTH - CHC</v>
      </c>
      <c r="U54" s="431" t="str">
        <v>-</v>
      </c>
      <c r="V54" s="433" t="str">
        <v>ComAir</v>
      </c>
      <c r="W54" s="433" t="str">
        <v>CHC-MCM</v>
      </c>
      <c r="X54" s="433" t="str">
        <v>-</v>
      </c>
      <c r="Y54" s="435" t="str">
        <v>USAP Air</v>
      </c>
      <c r="Z54" s="434">
        <v>45597</v>
      </c>
      <c r="AA54" s="427" t="str">
        <v>-</v>
      </c>
      <c r="AB54" s="435" t="str">
        <v>LC-130</v>
      </c>
      <c r="AC54" s="409">
        <v>45621</v>
      </c>
      <c r="AD54" s="409" t="str">
        <v>Yes</v>
      </c>
      <c r="AE54" s="409" t="str">
        <v>FY25 inter</v>
      </c>
      <c r="AF54" s="409" t="str">
        <v>FY25 intra</v>
      </c>
      <c r="AG54" s="409" t="str">
        <v>D. Williams</v>
      </c>
      <c r="AH54" s="409">
        <v>44483</v>
      </c>
      <c r="AI54" s="409" t="str">
        <v>D. Tosi</v>
      </c>
      <c r="AJ54" s="409">
        <v>44459</v>
      </c>
      <c r="AK54" s="409" t="str">
        <v>Used weights from last deployment season shipment data (could be combined)</v>
      </c>
      <c r="AL54" s="9" t="str">
        <v/>
      </c>
    </row>
    <row r="55" spans="1:40" ht="33.950000000000003" hidden="1">
      <c r="A55" s="25">
        <v>1.5</v>
      </c>
      <c r="B55" s="48" t="str">
        <v>Installation</v>
      </c>
      <c r="C55" s="3" t="str">
        <v>Dust logging device</v>
      </c>
      <c r="D55" s="3" t="str">
        <v>Electronics parts - sensitive equipment - Do Not Freeze</v>
      </c>
      <c r="E55" s="23">
        <v>26</v>
      </c>
      <c r="F55" s="23">
        <v>23</v>
      </c>
      <c r="G55" s="23">
        <v>20</v>
      </c>
      <c r="H55" s="23">
        <v>1</v>
      </c>
      <c r="I55" s="22">
        <v>6.9212962962962967</v>
      </c>
      <c r="J55" s="22">
        <v>60</v>
      </c>
      <c r="K55" s="4">
        <v>60</v>
      </c>
      <c r="L55" s="445" t="str">
        <v>actual</v>
      </c>
      <c r="M55" s="436" t="str">
        <v>DNF</v>
      </c>
      <c r="N55" s="427" t="str">
        <v xml:space="preserve"> U. Wisc. Madison</v>
      </c>
      <c r="O55" s="435">
        <v>61</v>
      </c>
      <c r="P55" s="443">
        <v>45444</v>
      </c>
      <c r="Q55" s="429" t="str">
        <v>UWM - PTH</v>
      </c>
      <c r="R55" s="428">
        <v>45505</v>
      </c>
      <c r="S55" s="430" t="str">
        <v>Truck</v>
      </c>
      <c r="T55" s="431" t="str">
        <v>PTH - CHC</v>
      </c>
      <c r="U55" s="431" t="str">
        <v>-</v>
      </c>
      <c r="V55" s="433" t="str">
        <v>ComAir</v>
      </c>
      <c r="W55" s="433" t="str">
        <v>CHC-MCM</v>
      </c>
      <c r="X55" s="433" t="str">
        <v>-</v>
      </c>
      <c r="Y55" s="435" t="str">
        <v>USAP Air</v>
      </c>
      <c r="Z55" s="434">
        <v>45597</v>
      </c>
      <c r="AA55" s="427" t="str">
        <v>-</v>
      </c>
      <c r="AB55" s="435" t="str">
        <v>LC-130</v>
      </c>
      <c r="AC55" s="409">
        <v>45621</v>
      </c>
      <c r="AD55" s="409" t="str">
        <v>Yes</v>
      </c>
      <c r="AE55" s="409" t="str">
        <v>FY25 inter</v>
      </c>
      <c r="AF55" s="409" t="str">
        <v>FY25 intra</v>
      </c>
      <c r="AG55" s="409" t="str">
        <v>D. Williams</v>
      </c>
      <c r="AH55" s="409">
        <v>44483</v>
      </c>
      <c r="AI55" s="409" t="str">
        <v>D. Tosi</v>
      </c>
      <c r="AJ55" s="409">
        <v>44460</v>
      </c>
      <c r="AK55" s="409" t="str">
        <v>Used weights from last deployment season shipment data (could be combined)</v>
      </c>
      <c r="AL55" s="9" t="str">
        <v/>
      </c>
    </row>
    <row r="56" spans="1:40" ht="33.950000000000003" hidden="1">
      <c r="A56" s="25">
        <v>1.5</v>
      </c>
      <c r="B56" s="48" t="str">
        <v>Installation</v>
      </c>
      <c r="C56" s="3" t="str">
        <v>Logging winch</v>
      </c>
      <c r="D56" s="3" t="str">
        <v xml:space="preserve">Winch to be used for Dust Logging </v>
      </c>
      <c r="E56" s="23">
        <v>86</v>
      </c>
      <c r="F56" s="23">
        <v>60</v>
      </c>
      <c r="G56" s="23">
        <v>68</v>
      </c>
      <c r="H56" s="23">
        <v>1</v>
      </c>
      <c r="I56" s="22">
        <v>203.05555555555554</v>
      </c>
      <c r="J56" s="22">
        <v>3500</v>
      </c>
      <c r="K56" s="4">
        <v>3500</v>
      </c>
      <c r="L56" s="445" t="str">
        <v>preliminary</v>
      </c>
      <c r="M56" s="436" t="str">
        <v/>
      </c>
      <c r="N56" s="427" t="str">
        <v xml:space="preserve"> U. Wisc. Madison</v>
      </c>
      <c r="O56" s="435">
        <v>61</v>
      </c>
      <c r="P56" s="443">
        <v>45444</v>
      </c>
      <c r="Q56" s="429" t="str">
        <v>UWM - PTH</v>
      </c>
      <c r="R56" s="428">
        <v>45505</v>
      </c>
      <c r="S56" s="430" t="str">
        <v>Truck</v>
      </c>
      <c r="T56" s="431" t="str">
        <v>PTH - CHC</v>
      </c>
      <c r="U56" s="431" t="str">
        <v>-</v>
      </c>
      <c r="V56" s="433" t="str">
        <v>ComAir</v>
      </c>
      <c r="W56" s="433" t="str">
        <v>CHC-MCM</v>
      </c>
      <c r="X56" s="433" t="str">
        <v>-</v>
      </c>
      <c r="Y56" s="435" t="str">
        <v>USAP Air</v>
      </c>
      <c r="Z56" s="434">
        <v>45597</v>
      </c>
      <c r="AA56" s="427" t="str">
        <v>-</v>
      </c>
      <c r="AB56" s="435" t="str">
        <v>LC-130</v>
      </c>
      <c r="AC56" s="409">
        <v>45621</v>
      </c>
      <c r="AD56" s="409" t="str">
        <v>Yes</v>
      </c>
      <c r="AE56" s="409" t="str">
        <v>FY25 inter</v>
      </c>
      <c r="AF56" s="409" t="str">
        <v>FY25 intra</v>
      </c>
      <c r="AG56" s="409" t="str">
        <v>D. Tosi</v>
      </c>
      <c r="AH56" s="409">
        <v>44477</v>
      </c>
      <c r="AI56" s="409" t="str">
        <v>I. McEwen</v>
      </c>
      <c r="AJ56" s="409">
        <v>44477</v>
      </c>
      <c r="AK56" s="409" t="str">
        <v>Used weights and cubes of IDP deep logging winch. Send back end of season</v>
      </c>
      <c r="AL56" s="9" t="str">
        <v/>
      </c>
    </row>
    <row r="57" spans="1:40" ht="33.950000000000003" hidden="1">
      <c r="A57" s="25">
        <v>1.5</v>
      </c>
      <c r="B57" s="48" t="str">
        <v>Installation</v>
      </c>
      <c r="C57" s="3" t="str">
        <v>Logging winch control box</v>
      </c>
      <c r="D57" s="3" t="str">
        <v>Control Box for winch for Dust Logging  - sensitive equipment - Do Not Freeze</v>
      </c>
      <c r="E57" s="23">
        <v>48</v>
      </c>
      <c r="F57" s="23">
        <v>48</v>
      </c>
      <c r="G57" s="23">
        <v>36</v>
      </c>
      <c r="H57" s="23">
        <v>1</v>
      </c>
      <c r="I57" s="22">
        <v>48</v>
      </c>
      <c r="J57" s="22">
        <v>400</v>
      </c>
      <c r="K57" s="4">
        <v>400</v>
      </c>
      <c r="L57" s="445" t="str">
        <v>preliminary</v>
      </c>
      <c r="M57" s="436" t="str">
        <v>DNF</v>
      </c>
      <c r="N57" s="427" t="str">
        <v xml:space="preserve"> U. Wisc. Madison</v>
      </c>
      <c r="O57" s="435">
        <v>61</v>
      </c>
      <c r="P57" s="443">
        <v>45444</v>
      </c>
      <c r="Q57" s="429" t="str">
        <v>UWM - PTH</v>
      </c>
      <c r="R57" s="428">
        <v>45505</v>
      </c>
      <c r="S57" s="430" t="str">
        <v>Truck</v>
      </c>
      <c r="T57" s="431" t="str">
        <v>PTH - CHC</v>
      </c>
      <c r="U57" s="431" t="str">
        <v>-</v>
      </c>
      <c r="V57" s="433" t="str">
        <v>ComAir</v>
      </c>
      <c r="W57" s="433" t="str">
        <v>CHC-MCM</v>
      </c>
      <c r="X57" s="433" t="str">
        <v>-</v>
      </c>
      <c r="Y57" s="435" t="str">
        <v>USAP Air</v>
      </c>
      <c r="Z57" s="434">
        <v>45597</v>
      </c>
      <c r="AA57" s="427" t="str">
        <v>-</v>
      </c>
      <c r="AB57" s="435" t="str">
        <v>LC-130</v>
      </c>
      <c r="AC57" s="409">
        <v>45621</v>
      </c>
      <c r="AD57" s="409" t="str">
        <v>Yes</v>
      </c>
      <c r="AE57" s="409" t="str">
        <v>FY25 inter</v>
      </c>
      <c r="AF57" s="409" t="str">
        <v>FY25 intra</v>
      </c>
      <c r="AG57" s="409" t="str">
        <v>D. Tosi</v>
      </c>
      <c r="AH57" s="409">
        <v>44477</v>
      </c>
      <c r="AI57" s="409" t="str">
        <v>I. McEwen</v>
      </c>
      <c r="AJ57" s="409">
        <v>44477</v>
      </c>
      <c r="AK57" s="409" t="str">
        <v>Used weights and cubes of IDP deep logging winch. Send back end of season</v>
      </c>
      <c r="AL57" s="9"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ht="30" customHeight="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98">
        <v>14</v>
      </c>
      <c r="P59" s="429">
        <v>44866</v>
      </c>
      <c r="Q59" s="429" t="str">
        <v>MSU - PTH</v>
      </c>
      <c r="R59" s="429">
        <v>44880</v>
      </c>
      <c r="S59" s="430" t="str">
        <v>Truck</v>
      </c>
      <c r="T59" s="431" t="str">
        <v>PTH - MCM</v>
      </c>
      <c r="U59" s="458" t="str">
        <v>-</v>
      </c>
      <c r="V59" s="433" t="str">
        <v>USAP Vessel</v>
      </c>
      <c r="W59" s="433" t="str">
        <v>USAP Vessel</v>
      </c>
      <c r="X59" s="433" t="str">
        <v>-</v>
      </c>
      <c r="Y59" s="426" t="str">
        <v>-</v>
      </c>
      <c r="Z59" s="426">
        <v>44963</v>
      </c>
      <c r="AA59" s="409" t="str">
        <v>-</v>
      </c>
      <c r="AB59" s="435" t="str">
        <v>LC-130/SPoT</v>
      </c>
      <c r="AC59" s="435">
        <v>45270</v>
      </c>
      <c r="AD59" s="409" t="str">
        <v>Yes</v>
      </c>
      <c r="AE59" s="409" t="str">
        <v>FY23 inter</v>
      </c>
      <c r="AF59" s="409" t="str">
        <v>FY24 intra</v>
      </c>
      <c r="AG59" s="435" t="str">
        <v>T. DeYoung</v>
      </c>
      <c r="AH59" s="435">
        <v>44482</v>
      </c>
      <c r="AI59" s="435" t="str">
        <v>D. Tosi</v>
      </c>
      <c r="AJ59" s="435">
        <v>44480</v>
      </c>
      <c r="AK59" s="409" t="str">
        <v>Each is 66" x 30" x 14", each is 112 lbs. Assume Folding crate. Simple passive objects, work plan can probably be shifted to increase float.</v>
      </c>
      <c r="AL59" s="9" t="str">
        <v/>
      </c>
    </row>
    <row r="60" spans="1:40" ht="32.25"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12" t="str">
        <v/>
      </c>
      <c r="N60" s="427" t="str">
        <v>MSU</v>
      </c>
      <c r="O60" s="498">
        <v>366</v>
      </c>
      <c r="P60" s="429">
        <v>44530</v>
      </c>
      <c r="Q60" s="429" t="str">
        <v>MSU - PTH</v>
      </c>
      <c r="R60" s="429">
        <v>44896</v>
      </c>
      <c r="S60" s="430" t="str">
        <v>Truck</v>
      </c>
      <c r="T60" s="431" t="str">
        <v>PTH - MCM</v>
      </c>
      <c r="U60" s="458" t="str">
        <v>-</v>
      </c>
      <c r="V60" s="433" t="str">
        <v>USAP Vessel</v>
      </c>
      <c r="W60" s="433" t="str">
        <v>USAP Vessel</v>
      </c>
      <c r="X60" s="433" t="str">
        <v>-</v>
      </c>
      <c r="Y60" s="426" t="str">
        <v>-</v>
      </c>
      <c r="Z60" s="426">
        <v>44963</v>
      </c>
      <c r="AA60" s="409" t="str">
        <v>-</v>
      </c>
      <c r="AB60" s="435" t="str">
        <v>LC-130</v>
      </c>
      <c r="AC60" s="435">
        <v>45250</v>
      </c>
      <c r="AD60" s="409" t="str">
        <v>Yes</v>
      </c>
      <c r="AE60" s="409" t="str">
        <v>FY23 inter</v>
      </c>
      <c r="AF60" s="409" t="str">
        <v>FY24 intra</v>
      </c>
      <c r="AG60" s="435" t="str">
        <v>T. DeYoung</v>
      </c>
      <c r="AH60" s="435">
        <v>44482</v>
      </c>
      <c r="AI60" s="435" t="str">
        <v>D. Tosi</v>
      </c>
      <c r="AJ60" s="435">
        <v>44480</v>
      </c>
      <c r="AK60" s="409" t="str">
        <v/>
      </c>
      <c r="AL60" s="9" t="str">
        <v/>
      </c>
    </row>
    <row r="61" spans="1:40" ht="68.099999999999994" hidden="1">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12" t="str">
        <v>DNDF[-40C](*)</v>
      </c>
      <c r="N61" s="427" t="str">
        <v>MSU</v>
      </c>
      <c r="O61" s="435">
        <v>46</v>
      </c>
      <c r="P61" s="428">
        <v>44985</v>
      </c>
      <c r="Q61" s="429" t="str">
        <v>MSU - PTH</v>
      </c>
      <c r="R61" s="428">
        <v>45031</v>
      </c>
      <c r="S61" s="431" t="str">
        <v>Truck</v>
      </c>
      <c r="T61" s="431" t="str">
        <v>PTH - MCM</v>
      </c>
      <c r="U61" s="431" t="str">
        <v>-</v>
      </c>
      <c r="V61" s="433" t="str">
        <v>USAP Vessel</v>
      </c>
      <c r="W61" s="433" t="str">
        <v>USAP Vessel</v>
      </c>
      <c r="X61" s="433" t="str">
        <v>-</v>
      </c>
      <c r="Y61" s="426" t="str">
        <v>-</v>
      </c>
      <c r="Z61" s="434">
        <v>45328</v>
      </c>
      <c r="AA61" s="427" t="str">
        <v>-</v>
      </c>
      <c r="AB61" s="435" t="str">
        <v>LC-130</v>
      </c>
      <c r="AC61" s="409">
        <v>45337</v>
      </c>
      <c r="AD61" s="409" t="str">
        <v>Yes</v>
      </c>
      <c r="AE61" s="409" t="str">
        <v>FY24 inter</v>
      </c>
      <c r="AF61" s="409" t="str">
        <v>FY24 intra</v>
      </c>
      <c r="AG61" s="409" t="str">
        <v>T. DeYoung</v>
      </c>
      <c r="AH61" s="409">
        <v>44459</v>
      </c>
      <c r="AI61" s="409" t="str">
        <v>D. Tosi</v>
      </c>
      <c r="AJ61" s="409">
        <v>44480</v>
      </c>
      <c r="AK61" s="409" t="e">
        <v>#VALUE!</v>
      </c>
      <c r="AL61" s="9" t="str">
        <v/>
      </c>
    </row>
    <row r="62" spans="1:40" ht="32.25" hidden="1" customHeight="1">
      <c r="A62" s="35">
        <v>1.4</v>
      </c>
      <c r="B62" s="89" t="str">
        <v>Installation</v>
      </c>
      <c r="C62" s="20" t="str">
        <v>Breakout cables for strings 89-93</v>
      </c>
      <c r="D62" s="20" t="str">
        <v>Stored in McMurdo FY24. 5 wooden crates containing spooled breakout cable assemblies - 96 cf/ 1,000 lbs each (preliminary) -  Do Not Deep Freeze</v>
      </c>
      <c r="E62" s="36">
        <v>72</v>
      </c>
      <c r="F62" s="36">
        <v>48</v>
      </c>
      <c r="G62" s="36">
        <v>48</v>
      </c>
      <c r="H62" s="23">
        <v>5</v>
      </c>
      <c r="I62" s="4">
        <v>480</v>
      </c>
      <c r="J62" s="4">
        <v>1000</v>
      </c>
      <c r="K62" s="4">
        <v>5000</v>
      </c>
      <c r="L62" s="36" t="str">
        <v>estimated</v>
      </c>
      <c r="M62" s="436" t="str">
        <v>DNDF[-40C](*)</v>
      </c>
      <c r="N62" s="427" t="str">
        <v>MSU</v>
      </c>
      <c r="O62" s="435">
        <v>24</v>
      </c>
      <c r="P62" s="428">
        <v>45068</v>
      </c>
      <c r="Q62" s="429" t="str">
        <v>MSU - PTH</v>
      </c>
      <c r="R62" s="428">
        <v>45092</v>
      </c>
      <c r="S62" s="431" t="str">
        <v>Truck</v>
      </c>
      <c r="T62" s="431" t="str">
        <v>PTH - MCM</v>
      </c>
      <c r="U62" s="431" t="str">
        <v>-</v>
      </c>
      <c r="V62" s="433" t="str">
        <v>USAP Vessel</v>
      </c>
      <c r="W62" s="433" t="str">
        <v>USAP Vessel</v>
      </c>
      <c r="X62" s="433" t="str">
        <v>-</v>
      </c>
      <c r="Y62" s="426" t="str">
        <v>-</v>
      </c>
      <c r="Z62" s="434">
        <v>45328</v>
      </c>
      <c r="AA62" s="427" t="str">
        <v>-</v>
      </c>
      <c r="AB62" s="435" t="str">
        <v>LC-130/SPoT</v>
      </c>
      <c r="AC62" s="409">
        <v>45621</v>
      </c>
      <c r="AD62" s="409" t="str">
        <v>Yes</v>
      </c>
      <c r="AE62" s="409" t="str">
        <v>FY24 inter</v>
      </c>
      <c r="AF62" s="409" t="str">
        <v>FY25 intra</v>
      </c>
      <c r="AG62" s="409" t="str">
        <v>T. DeYoung</v>
      </c>
      <c r="AH62" s="409">
        <v>44459</v>
      </c>
      <c r="AI62" s="409" t="str">
        <v>D. Tosi</v>
      </c>
      <c r="AJ62" s="409">
        <v>44459</v>
      </c>
      <c r="AK62" s="409" t="str">
        <v xml:space="preserve">Float in PTH due to storage limitation in MSU.
(*) storage in McMurdo pending low temperature test  </v>
      </c>
      <c r="AL62" s="9" t="str">
        <v/>
      </c>
    </row>
    <row r="63" spans="1:40" ht="32.25" hidden="1" customHeight="1">
      <c r="A63" s="35">
        <v>1.4</v>
      </c>
      <c r="B63" s="51" t="str">
        <v>Installation</v>
      </c>
      <c r="C63" s="20" t="str">
        <v>Main (downhole) load members 87-93</v>
      </c>
      <c r="D63" s="20" t="str">
        <v>May be possible to store in McMurdo until drill season - Do Not Deep Freeze</v>
      </c>
      <c r="E63" s="36">
        <v>47</v>
      </c>
      <c r="F63" s="36">
        <v>47</v>
      </c>
      <c r="G63" s="36">
        <v>39</v>
      </c>
      <c r="H63" s="23">
        <v>7</v>
      </c>
      <c r="I63" s="4">
        <v>348.99131944444446</v>
      </c>
      <c r="J63" s="4">
        <v>766</v>
      </c>
      <c r="K63" s="4">
        <v>5362</v>
      </c>
      <c r="L63" s="36" t="str">
        <v>preliminary</v>
      </c>
      <c r="M63" s="112" t="str">
        <v>DNDF[-40C](*)</v>
      </c>
      <c r="N63" s="427" t="str">
        <v>MSU</v>
      </c>
      <c r="O63" s="435">
        <v>14</v>
      </c>
      <c r="P63" s="428">
        <v>45017</v>
      </c>
      <c r="Q63" s="429" t="str">
        <v>MSU - PTH</v>
      </c>
      <c r="R63" s="428">
        <v>45031</v>
      </c>
      <c r="S63" s="431" t="str">
        <v>Truck</v>
      </c>
      <c r="T63" s="431" t="str">
        <v>PTH - MCM</v>
      </c>
      <c r="U63" s="431" t="str">
        <v>-</v>
      </c>
      <c r="V63" s="433" t="str">
        <v>USAP Vessel</v>
      </c>
      <c r="W63" s="433" t="str">
        <v>USAP Vessel</v>
      </c>
      <c r="X63" s="433" t="str">
        <v>-</v>
      </c>
      <c r="Y63" s="426" t="str">
        <v>-</v>
      </c>
      <c r="Z63" s="434">
        <v>45328</v>
      </c>
      <c r="AA63" s="409" t="str">
        <v>-</v>
      </c>
      <c r="AB63" s="435" t="str">
        <v>LC-130/SPoT</v>
      </c>
      <c r="AC63" s="409">
        <v>45627</v>
      </c>
      <c r="AD63" s="409" t="str">
        <v>Yes</v>
      </c>
      <c r="AE63" s="409" t="str">
        <v>FY24 inter</v>
      </c>
      <c r="AF63" s="409" t="str">
        <v>FY25 intra</v>
      </c>
      <c r="AG63" s="409" t="str">
        <v>T. DeYoung</v>
      </c>
      <c r="AH63" s="409">
        <v>44459</v>
      </c>
      <c r="AI63" s="409" t="str">
        <v>D. Tosi</v>
      </c>
      <c r="AJ63" s="409">
        <v>44480</v>
      </c>
      <c r="AK63" s="409" t="str">
        <v>Shipping date synched with main (downhole) cables due to storage limitation in MSU. Float in PTH.</v>
      </c>
      <c r="AL63" s="9" t="str">
        <v/>
      </c>
    </row>
    <row r="64" spans="1:40" ht="40.5" hidden="1" customHeight="1">
      <c r="A64" s="35">
        <v>1.4</v>
      </c>
      <c r="B64" s="51" t="str">
        <v>Installation</v>
      </c>
      <c r="C64" s="20" t="str">
        <v>Main (downhole) cables 87-93</v>
      </c>
      <c r="D64" s="20" t="str">
        <v>May be possible to store in McMurdo until drill season - Do Not Deep Freeze</v>
      </c>
      <c r="E64" s="36">
        <v>96</v>
      </c>
      <c r="F64" s="36">
        <v>96</v>
      </c>
      <c r="G64" s="36">
        <v>96</v>
      </c>
      <c r="H64" s="23">
        <v>7</v>
      </c>
      <c r="I64" s="4">
        <v>3584</v>
      </c>
      <c r="J64" s="4">
        <v>15000</v>
      </c>
      <c r="K64" s="4">
        <v>105000</v>
      </c>
      <c r="L64" s="36" t="str">
        <v>preliminary</v>
      </c>
      <c r="M64" s="112" t="str">
        <v>DNDF[-40C](*)</v>
      </c>
      <c r="N64" s="427" t="str">
        <v>MSU</v>
      </c>
      <c r="O64" s="435">
        <v>14</v>
      </c>
      <c r="P64" s="428">
        <v>45017</v>
      </c>
      <c r="Q64" s="429" t="str">
        <v>MSU - PTH</v>
      </c>
      <c r="R64" s="428">
        <v>45031</v>
      </c>
      <c r="S64" s="431" t="str">
        <v>Truck</v>
      </c>
      <c r="T64" s="431" t="str">
        <v>PTH - MCM</v>
      </c>
      <c r="U64" s="431" t="str">
        <v>-</v>
      </c>
      <c r="V64" s="433" t="str">
        <v>USAP Vessel</v>
      </c>
      <c r="W64" s="433" t="str">
        <v>USAP Vessel</v>
      </c>
      <c r="X64" s="433" t="str">
        <v>-</v>
      </c>
      <c r="Y64" s="426" t="str">
        <v>-</v>
      </c>
      <c r="Z64" s="434">
        <v>45328</v>
      </c>
      <c r="AA64" s="409" t="str">
        <v>-</v>
      </c>
      <c r="AB64" s="435" t="str">
        <v>LC-130/SPoT</v>
      </c>
      <c r="AC64" s="409">
        <v>45627</v>
      </c>
      <c r="AD64" s="409" t="str">
        <v>Yes</v>
      </c>
      <c r="AE64" s="409" t="str">
        <v>FY24 inter</v>
      </c>
      <c r="AF64" s="409" t="str">
        <v>FY25 intra</v>
      </c>
      <c r="AG64" s="409" t="str">
        <v>T. DeYoung</v>
      </c>
      <c r="AH64" s="409">
        <v>44459</v>
      </c>
      <c r="AI64" s="409" t="str">
        <v>D. Tosi</v>
      </c>
      <c r="AJ64" s="409">
        <v>44480</v>
      </c>
      <c r="AK64" s="409" t="str">
        <v>Shipping date chosen to be 2 weeks after scheduled ready to ship date because of storage limitations at MSU. additional 7 months of float at Port Hueneme assuming USAP vessel departure.  (*) storage in McMurdo pending low temperature test.</v>
      </c>
      <c r="AL64" s="9" t="str">
        <v/>
      </c>
    </row>
    <row r="65" spans="1:40" ht="72" hidden="1" customHeight="1">
      <c r="A65" s="25">
        <v>1.3</v>
      </c>
      <c r="B65" s="48" t="str">
        <v>Installation</v>
      </c>
      <c r="C65" s="3" t="str">
        <v>String Sensors 89-93</v>
      </c>
      <c r="D65" s="3" t="str">
        <v>Optical Sensors for 5 strings from MSU (mDOMs) - Do Not Deep Freeze</v>
      </c>
      <c r="E65" s="23">
        <v>40</v>
      </c>
      <c r="F65" s="23">
        <v>48</v>
      </c>
      <c r="G65" s="445">
        <v>46</v>
      </c>
      <c r="H65" s="23">
        <v>25</v>
      </c>
      <c r="I65" s="4">
        <v>1277.7777777777778</v>
      </c>
      <c r="J65" s="4">
        <v>573</v>
      </c>
      <c r="K65" s="4">
        <v>14325</v>
      </c>
      <c r="L65" s="445" t="str">
        <v>actual(**)</v>
      </c>
      <c r="M65" s="6" t="str">
        <v>DNDF [-40C]</v>
      </c>
      <c r="N65" s="10" t="str">
        <v>MSU</v>
      </c>
      <c r="O65" s="435">
        <v>366</v>
      </c>
      <c r="P65" s="428">
        <v>45139</v>
      </c>
      <c r="Q65" s="429" t="str">
        <v>MSU - PTH</v>
      </c>
      <c r="R65" s="428">
        <v>45505</v>
      </c>
      <c r="S65" s="431" t="str">
        <v>Truck</v>
      </c>
      <c r="T65" s="431" t="str">
        <v>PTH - CHC</v>
      </c>
      <c r="U65" s="431" t="str">
        <v>-</v>
      </c>
      <c r="V65" s="433" t="str">
        <v>ComSur</v>
      </c>
      <c r="W65" s="433" t="str">
        <v>CHC - MCM</v>
      </c>
      <c r="X65" s="433" t="str">
        <v>-</v>
      </c>
      <c r="Y65" s="435" t="str">
        <v>USAP Air</v>
      </c>
      <c r="Z65" s="434">
        <v>45597</v>
      </c>
      <c r="AA65" s="427" t="str">
        <v>-</v>
      </c>
      <c r="AB65" s="435" t="str">
        <v>LC-130</v>
      </c>
      <c r="AC65" s="409">
        <v>45621</v>
      </c>
      <c r="AD65" s="409" t="str">
        <v>Yes</v>
      </c>
      <c r="AE65" s="409" t="str">
        <v>FY25 inter</v>
      </c>
      <c r="AF65" s="409" t="str">
        <v>FY25 intra</v>
      </c>
      <c r="AG65" s="409" t="str">
        <v>T. Karg</v>
      </c>
      <c r="AH65" s="409">
        <v>44459</v>
      </c>
      <c r="AI65" s="409" t="str">
        <v>D. Tosi</v>
      </c>
      <c r="AJ65" s="409">
        <v>44461</v>
      </c>
      <c r="AK65" s="409" t="str">
        <v>mDOM weight is 28 kg/boxed + 35kg pallet, assume 8 mDOMs/pallet (189 to be deployed + 11 spares)(*)Assumed to be shipped in 2x20' HC  (5115 lbs, 238inx96inx114in) or a 40 ft HC, purchased by MSU or loaned in PTH (container weight not included)</v>
      </c>
      <c r="AL65" s="9" t="str">
        <v/>
      </c>
    </row>
    <row r="66" spans="1:40" ht="51" hidden="1">
      <c r="A66" s="25">
        <v>1.3</v>
      </c>
      <c r="B66" s="48" t="str">
        <v>Installation</v>
      </c>
      <c r="C66" s="3" t="str">
        <v>String Sensors 89-93</v>
      </c>
      <c r="D66" s="3" t="str">
        <v>Optical Sensors for 5 strings from MSU (mDOMs) containers (TBD) - Do Not Deep Freeze</v>
      </c>
      <c r="E66" s="23">
        <v>238</v>
      </c>
      <c r="F66" s="23">
        <v>96</v>
      </c>
      <c r="G66" s="445">
        <v>114</v>
      </c>
      <c r="H66" s="23">
        <v>0</v>
      </c>
      <c r="I66" s="4">
        <v>0</v>
      </c>
      <c r="J66" s="4">
        <v>5115</v>
      </c>
      <c r="K66" s="4">
        <v>0</v>
      </c>
      <c r="L66" s="445" t="str">
        <v>actual(**)</v>
      </c>
      <c r="M66" s="6" t="str">
        <v>DNDF [-40C]</v>
      </c>
      <c r="N66" s="10" t="str">
        <v>MSU</v>
      </c>
      <c r="O66" s="435">
        <v>366</v>
      </c>
      <c r="P66" s="428">
        <v>45139</v>
      </c>
      <c r="Q66" s="429" t="str">
        <v>MSU - PTH</v>
      </c>
      <c r="R66" s="428">
        <v>45505</v>
      </c>
      <c r="S66" s="431" t="str">
        <v>Truck</v>
      </c>
      <c r="T66" s="431" t="str">
        <v>PTH - CHC</v>
      </c>
      <c r="U66" s="431" t="str">
        <v>-</v>
      </c>
      <c r="V66" s="433" t="str">
        <v>ComSur</v>
      </c>
      <c r="W66" s="433" t="str">
        <v>CHC - MCM</v>
      </c>
      <c r="X66" s="433" t="str">
        <v>-</v>
      </c>
      <c r="Y66" s="435" t="str">
        <v>USAP Air</v>
      </c>
      <c r="Z66" s="434">
        <v>45597</v>
      </c>
      <c r="AA66" s="427" t="str">
        <v>-</v>
      </c>
      <c r="AB66" s="435" t="str">
        <v>LC-130</v>
      </c>
      <c r="AC66" s="409">
        <v>45621</v>
      </c>
      <c r="AD66" s="409" t="str">
        <v>Yes</v>
      </c>
      <c r="AE66" s="409" t="str">
        <v>FY25 inter</v>
      </c>
      <c r="AF66" s="409" t="str">
        <v>FY25 intra</v>
      </c>
      <c r="AG66" s="409" t="str">
        <v>T. Karg</v>
      </c>
      <c r="AH66" s="409">
        <v>44459</v>
      </c>
      <c r="AI66" s="409" t="str">
        <v>D. Tosi</v>
      </c>
      <c r="AJ66" s="409">
        <v>44461</v>
      </c>
      <c r="AK66" s="409" t="str">
        <v>Assume 2x20HC containers for transport on COMSUR (TBC). Pallets could be loaded to 53 ft truck and loaded into a loaned container in PTH but this would increase touch points (and risk)</v>
      </c>
      <c r="AL66" s="9"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hidden="1" customHeight="1" thickTop="1">
      <c r="A68" s="25">
        <v>1.3</v>
      </c>
      <c r="B68" s="48" t="str">
        <v>Installation</v>
      </c>
      <c r="C68" s="3" t="str">
        <v>DM-Ice</v>
      </c>
      <c r="D68" s="3" t="str">
        <v>DM-ice (two modules for string 89 and 90) - Do Not Deep Freeze</v>
      </c>
      <c r="E68" s="23">
        <v>48</v>
      </c>
      <c r="F68" s="23">
        <v>48</v>
      </c>
      <c r="G68" s="23">
        <v>48</v>
      </c>
      <c r="H68" s="23">
        <v>1</v>
      </c>
      <c r="I68" s="4">
        <v>64</v>
      </c>
      <c r="J68" s="4">
        <v>1500</v>
      </c>
      <c r="K68" s="4">
        <v>1500</v>
      </c>
      <c r="L68" s="445" t="str">
        <v>estimated</v>
      </c>
      <c r="M68" s="6" t="str">
        <v>DNDF [-40C]</v>
      </c>
      <c r="N68" s="10" t="str">
        <v>Yale</v>
      </c>
      <c r="O68" s="435">
        <v>61</v>
      </c>
      <c r="P68" s="428">
        <v>45444</v>
      </c>
      <c r="Q68" s="429" t="str">
        <v>Yale - PTH</v>
      </c>
      <c r="R68" s="428">
        <v>45505</v>
      </c>
      <c r="S68" s="431" t="str">
        <v>Truck</v>
      </c>
      <c r="T68" s="431" t="str">
        <v>PTH - CHC</v>
      </c>
      <c r="U68" s="431" t="str">
        <v>-</v>
      </c>
      <c r="V68" s="433" t="str">
        <v>ComSur</v>
      </c>
      <c r="W68" s="433" t="str">
        <v>CHC - MCM</v>
      </c>
      <c r="X68" s="433" t="str">
        <v>-</v>
      </c>
      <c r="Y68" s="435" t="str">
        <v>USAP Air</v>
      </c>
      <c r="Z68" s="434">
        <v>45597</v>
      </c>
      <c r="AA68" s="427" t="str">
        <v>-</v>
      </c>
      <c r="AB68" s="435" t="str">
        <v>LC-130</v>
      </c>
      <c r="AC68" s="409">
        <v>45621</v>
      </c>
      <c r="AD68" s="409" t="str">
        <v>Yes</v>
      </c>
      <c r="AE68" s="409" t="str">
        <v>FY25 inter</v>
      </c>
      <c r="AF68" s="409" t="str">
        <v>FY25 intra</v>
      </c>
      <c r="AG68" s="409" t="str">
        <v>M. Kauer</v>
      </c>
      <c r="AH68" s="409">
        <v>44459</v>
      </c>
      <c r="AI68" s="409" t="str">
        <v>D. Tosi</v>
      </c>
      <c r="AJ68" s="409">
        <v>44459</v>
      </c>
      <c r="AK68" s="409" t="str">
        <v/>
      </c>
      <c r="AL68" s="9"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ht="68.099999999999994" hidden="1">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35">
        <v>122</v>
      </c>
      <c r="P70" s="428">
        <v>45017</v>
      </c>
      <c r="Q70" s="429" t="str">
        <v>DESY - CHC</v>
      </c>
      <c r="R70" s="428">
        <v>45139</v>
      </c>
      <c r="S70" s="431" t="str">
        <v>ComSur</v>
      </c>
      <c r="T70" s="431" t="str">
        <v>DESY-CHC</v>
      </c>
      <c r="U70" s="431" t="str">
        <v>-</v>
      </c>
      <c r="V70" s="433" t="str">
        <v>ComSur</v>
      </c>
      <c r="W70" s="433" t="str">
        <v>CHC - MCM</v>
      </c>
      <c r="X70" s="433" t="str">
        <v>-</v>
      </c>
      <c r="Y70" s="435" t="str">
        <v>USAP  Air</v>
      </c>
      <c r="Z70" s="434">
        <v>45231</v>
      </c>
      <c r="AA70" s="427" t="str">
        <v>-</v>
      </c>
      <c r="AB70" s="435" t="str">
        <v>LC-130</v>
      </c>
      <c r="AC70" s="409">
        <v>45306</v>
      </c>
      <c r="AD70" s="409" t="str">
        <v>Yes</v>
      </c>
      <c r="AE70" s="409" t="str">
        <v>FY24 inter</v>
      </c>
      <c r="AF70" s="409" t="str">
        <v>FY24 intra</v>
      </c>
      <c r="AG70" s="409" t="str">
        <v>T. Karg</v>
      </c>
      <c r="AH70" s="409">
        <v>44459</v>
      </c>
      <c r="AI70" s="409" t="str">
        <v>D. Tosi</v>
      </c>
      <c r="AJ70" s="409">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ht="68.099999999999994" hidden="1">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35">
        <v>122</v>
      </c>
      <c r="P71" s="428">
        <v>45017</v>
      </c>
      <c r="Q71" s="429" t="str">
        <v>DESY - CHC</v>
      </c>
      <c r="R71" s="428">
        <v>45139</v>
      </c>
      <c r="S71" s="431" t="str">
        <v>ComSur</v>
      </c>
      <c r="T71" s="431" t="str">
        <v>DESY-CHC</v>
      </c>
      <c r="U71" s="431" t="str">
        <v>-</v>
      </c>
      <c r="V71" s="433" t="str">
        <v>ComSur</v>
      </c>
      <c r="W71" s="433" t="str">
        <v>CHC - MCM</v>
      </c>
      <c r="X71" s="433" t="str">
        <v>-</v>
      </c>
      <c r="Y71" s="435" t="str">
        <v>USAP  Air</v>
      </c>
      <c r="Z71" s="434">
        <v>45231</v>
      </c>
      <c r="AA71" s="427" t="str">
        <v>-</v>
      </c>
      <c r="AB71" s="435" t="str">
        <v>LC-130</v>
      </c>
      <c r="AC71" s="409">
        <v>45306</v>
      </c>
      <c r="AD71" s="409" t="str">
        <v>Yes</v>
      </c>
      <c r="AE71" s="409" t="str">
        <v>FY24 inter</v>
      </c>
      <c r="AF71" s="409" t="str">
        <v>FY24 intra</v>
      </c>
      <c r="AG71" s="409" t="str">
        <v>T. Karg</v>
      </c>
      <c r="AH71" s="409">
        <v>44459</v>
      </c>
      <c r="AI71" s="409" t="str">
        <v>D. Tosi</v>
      </c>
      <c r="AJ71" s="409">
        <v>44461</v>
      </c>
      <c r="AK71" s="409" t="str">
        <v>mDOM weight is 62 lbs (25kg/sensor + 3 kg/box) + 35kg pallet, assume 8 mDOMs/pallet - shipped in 20 HC container. Container weight not included in the assumption that pallet will be taken out in CHC.</v>
      </c>
      <c r="AL71" s="9" t="str">
        <v/>
      </c>
    </row>
    <row r="72" spans="1:40" ht="33.950000000000003" hidden="1">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35">
        <v>212</v>
      </c>
      <c r="P72" s="428">
        <v>44927</v>
      </c>
      <c r="Q72" s="429" t="str">
        <v>DESY - CHC</v>
      </c>
      <c r="R72" s="428">
        <v>45139</v>
      </c>
      <c r="S72" s="431" t="str">
        <v>ComSur</v>
      </c>
      <c r="T72" s="431" t="str">
        <v>DESY-CHC</v>
      </c>
      <c r="U72" s="431" t="str">
        <v>-</v>
      </c>
      <c r="V72" s="433" t="str">
        <v>ComSur</v>
      </c>
      <c r="W72" s="433" t="str">
        <v>CHC - MCM</v>
      </c>
      <c r="X72" s="433" t="str">
        <v>-</v>
      </c>
      <c r="Y72" s="435" t="str">
        <v>USAP  Air</v>
      </c>
      <c r="Z72" s="434">
        <v>45231</v>
      </c>
      <c r="AA72" s="427" t="str">
        <v>-</v>
      </c>
      <c r="AB72" s="435" t="str">
        <v>LC-130</v>
      </c>
      <c r="AC72" s="409">
        <v>45306</v>
      </c>
      <c r="AD72" s="409" t="str">
        <v>Yes</v>
      </c>
      <c r="AE72" s="409" t="str">
        <v>FY24 inter</v>
      </c>
      <c r="AF72" s="409" t="str">
        <v>FY24 intra</v>
      </c>
      <c r="AG72" s="409" t="str">
        <v>S. Boeser</v>
      </c>
      <c r="AH72" s="409">
        <v>44482</v>
      </c>
      <c r="AI72" s="409" t="str">
        <v>D. Tosi</v>
      </c>
      <c r="AJ72" s="409">
        <v>44482</v>
      </c>
      <c r="AK72" s="409" t="str">
        <v xml:space="preserve">8 WOMs (no spares) - AH not included for now. Assume 150 lbs crate.  </v>
      </c>
      <c r="AL72" s="9" t="str">
        <v/>
      </c>
    </row>
    <row r="73" spans="1:40" ht="33.950000000000003" hidden="1">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35">
        <v>426</v>
      </c>
      <c r="P73" s="428">
        <v>44713</v>
      </c>
      <c r="Q73" s="429" t="str">
        <v>DESY - CHC</v>
      </c>
      <c r="R73" s="428">
        <v>45139</v>
      </c>
      <c r="S73" s="431" t="str">
        <v>ComSur</v>
      </c>
      <c r="T73" s="431" t="str">
        <v>DESY-CHC</v>
      </c>
      <c r="U73" s="431" t="str">
        <v>-</v>
      </c>
      <c r="V73" s="433" t="str">
        <v>ComSur</v>
      </c>
      <c r="W73" s="433" t="str">
        <v>CHC-MCM</v>
      </c>
      <c r="X73" s="433" t="str">
        <v>-</v>
      </c>
      <c r="Y73" s="435" t="str">
        <v>USAP  Air</v>
      </c>
      <c r="Z73" s="434">
        <v>45231</v>
      </c>
      <c r="AA73" s="427" t="str">
        <v>-</v>
      </c>
      <c r="AB73" s="435" t="str">
        <v>LC-130</v>
      </c>
      <c r="AC73" s="409">
        <v>45306</v>
      </c>
      <c r="AD73" s="409" t="str">
        <v>Yes</v>
      </c>
      <c r="AE73" s="409" t="str">
        <v>FY24 inter</v>
      </c>
      <c r="AF73" s="409" t="str">
        <v>FY24 intra</v>
      </c>
      <c r="AG73" s="409" t="str">
        <v>D. Williams</v>
      </c>
      <c r="AH73" s="409">
        <v>44482</v>
      </c>
      <c r="AI73" s="409" t="str">
        <v>D. Tosi</v>
      </c>
      <c r="AJ73" s="409">
        <v>44482</v>
      </c>
      <c r="AK73" s="409" t="str">
        <v>Calibration devices for strings 87-88 = 2+1 Sweden Camera + 3+1 Acoustic Module + 4+1 POCAM, including spares, 200 lbs crate</v>
      </c>
      <c r="AL73" s="9" t="str">
        <v/>
      </c>
    </row>
    <row r="74" spans="1:40" ht="33.950000000000003" hidden="1">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35">
        <v>14</v>
      </c>
      <c r="P74" s="428">
        <v>45139</v>
      </c>
      <c r="Q74" s="429" t="str">
        <v>DESY - CHC</v>
      </c>
      <c r="R74" s="428">
        <v>45153</v>
      </c>
      <c r="S74" s="431" t="str">
        <v>ComSur</v>
      </c>
      <c r="T74" s="431" t="str">
        <v>DESY-CHC</v>
      </c>
      <c r="U74" s="431" t="str">
        <v>-</v>
      </c>
      <c r="V74" s="433" t="str">
        <v>ComSur</v>
      </c>
      <c r="W74" s="433" t="str">
        <v>CHC-MCM</v>
      </c>
      <c r="X74" s="433" t="str">
        <v>-</v>
      </c>
      <c r="Y74" s="435" t="str">
        <v>USAP  Air</v>
      </c>
      <c r="Z74" s="434">
        <v>45231</v>
      </c>
      <c r="AA74" s="427" t="str">
        <v>-</v>
      </c>
      <c r="AB74" s="435" t="str">
        <v>LC-130</v>
      </c>
      <c r="AC74" s="409">
        <v>45261</v>
      </c>
      <c r="AD74" s="409" t="str">
        <v>No</v>
      </c>
      <c r="AE74" s="409" t="str">
        <v>FY24 inter</v>
      </c>
      <c r="AF74" s="409" t="str">
        <v>FY24 intra</v>
      </c>
      <c r="AG74" s="409" t="str">
        <v>J. Kelley</v>
      </c>
      <c r="AH74" s="409">
        <v>44482</v>
      </c>
      <c r="AI74" s="409" t="str">
        <v>D. Tosi</v>
      </c>
      <c r="AJ74" s="409">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hidden="1">
      <c r="A75" s="25">
        <v>1.3</v>
      </c>
      <c r="B75" s="48" t="str">
        <v>Installation</v>
      </c>
      <c r="C75" s="3" t="str">
        <v>String Sensors 89-93</v>
      </c>
      <c r="D75" s="3" t="str">
        <v>Optical sensors for 5 strings from Germany (mDOMs) - Do Not Deep Freeze</v>
      </c>
      <c r="E75" s="23">
        <v>40</v>
      </c>
      <c r="F75" s="23">
        <v>48</v>
      </c>
      <c r="G75" s="445">
        <v>46</v>
      </c>
      <c r="H75" s="23">
        <v>12</v>
      </c>
      <c r="I75" s="4">
        <v>613.33333333333337</v>
      </c>
      <c r="J75" s="4">
        <v>573</v>
      </c>
      <c r="K75" s="4">
        <v>6876</v>
      </c>
      <c r="L75" s="445" t="str">
        <v>actual(**)</v>
      </c>
      <c r="M75" s="6" t="str">
        <v>DNDF [-40C]</v>
      </c>
      <c r="N75" s="10" t="str">
        <v>DESY</v>
      </c>
      <c r="O75" s="435">
        <v>397</v>
      </c>
      <c r="P75" s="428">
        <v>45108</v>
      </c>
      <c r="Q75" s="429" t="str">
        <v>DESY - CHC</v>
      </c>
      <c r="R75" s="428">
        <v>45505</v>
      </c>
      <c r="S75" s="431" t="str">
        <v>ComSur</v>
      </c>
      <c r="T75" s="431" t="str">
        <v>DESY-CHC</v>
      </c>
      <c r="U75" s="431" t="str">
        <v>-</v>
      </c>
      <c r="V75" s="433" t="str">
        <v>ComSur</v>
      </c>
      <c r="W75" s="433" t="str">
        <v>CHC - MCM</v>
      </c>
      <c r="X75" s="433" t="str">
        <v>-</v>
      </c>
      <c r="Y75" s="435" t="str">
        <v>USAP  Air</v>
      </c>
      <c r="Z75" s="434">
        <v>45597</v>
      </c>
      <c r="AA75" s="427" t="str">
        <v>-</v>
      </c>
      <c r="AB75" s="435" t="str">
        <v>LC-130</v>
      </c>
      <c r="AC75" s="409">
        <v>45621</v>
      </c>
      <c r="AD75" s="409" t="str">
        <v>Yes</v>
      </c>
      <c r="AE75" s="409" t="str">
        <v>FY25 inter</v>
      </c>
      <c r="AF75" s="409" t="str">
        <v>FY25 intra</v>
      </c>
      <c r="AG75" s="409" t="str">
        <v>T. Karg</v>
      </c>
      <c r="AH75" s="409">
        <v>44459</v>
      </c>
      <c r="AI75" s="409" t="str">
        <v>D. Tosi</v>
      </c>
      <c r="AJ75" s="409">
        <v>44461</v>
      </c>
      <c r="AK75" s="409" t="str">
        <v>mDOM weight is (28kg/sensor boxed) + 35kg pallet, assume 8 mDOMs/pallet - 190 to be deployed + 10 spares. (**) shipped in 20 HC container. Container not included in weight as pallets will be taken out.</v>
      </c>
      <c r="AL75" s="9" t="str">
        <v/>
      </c>
    </row>
    <row r="76" spans="1:40" ht="33.950000000000003" hidden="1">
      <c r="A76" s="25">
        <v>1.3</v>
      </c>
      <c r="B76" s="48" t="str">
        <v>Installation</v>
      </c>
      <c r="C76" s="3" t="str">
        <v>Special Devices 89-93</v>
      </c>
      <c r="D76" s="3" t="str">
        <v>Special devices for 5 remaining strings from DESY/Germany/Sweden (6 WOMs,  3 Abalone Hubs or WOM Traps)  no spares - Do Not Deep Freeze</v>
      </c>
      <c r="E76" s="23">
        <v>32</v>
      </c>
      <c r="F76" s="23">
        <v>31</v>
      </c>
      <c r="G76" s="23">
        <v>89</v>
      </c>
      <c r="H76" s="23">
        <v>1</v>
      </c>
      <c r="I76" s="4">
        <v>51.092592592592595</v>
      </c>
      <c r="J76" s="4">
        <v>1035</v>
      </c>
      <c r="K76" s="4">
        <v>1035</v>
      </c>
      <c r="L76" s="445" t="str">
        <v>preliminary</v>
      </c>
      <c r="M76" s="38" t="str">
        <v>DNDF [-40C]</v>
      </c>
      <c r="N76" s="10" t="str">
        <v>Mainz</v>
      </c>
      <c r="O76" s="435">
        <v>213</v>
      </c>
      <c r="P76" s="428">
        <v>45292</v>
      </c>
      <c r="Q76" s="429" t="str">
        <v>DESY - CHC</v>
      </c>
      <c r="R76" s="428">
        <v>45505</v>
      </c>
      <c r="S76" s="431" t="str">
        <v>ComSur</v>
      </c>
      <c r="T76" s="431" t="str">
        <v>DESY-CHC</v>
      </c>
      <c r="U76" s="431" t="str">
        <v>-</v>
      </c>
      <c r="V76" s="433" t="str">
        <v>ComSur</v>
      </c>
      <c r="W76" s="433" t="str">
        <v>CHC - MCM</v>
      </c>
      <c r="X76" s="433" t="str">
        <v>-</v>
      </c>
      <c r="Y76" s="435" t="str">
        <v>USAP  Air</v>
      </c>
      <c r="Z76" s="434">
        <v>45597</v>
      </c>
      <c r="AA76" s="427" t="str">
        <v>-</v>
      </c>
      <c r="AB76" s="435" t="str">
        <v>LC-130</v>
      </c>
      <c r="AC76" s="409">
        <v>45621</v>
      </c>
      <c r="AD76" s="409" t="str">
        <v>Yes</v>
      </c>
      <c r="AE76" s="409" t="str">
        <v>FY25 inter</v>
      </c>
      <c r="AF76" s="409" t="str">
        <v>FY25 intra</v>
      </c>
      <c r="AG76" s="409" t="str">
        <v>S. Boeser</v>
      </c>
      <c r="AH76" s="409">
        <v>44482</v>
      </c>
      <c r="AI76" s="409" t="str">
        <v>D. Tosi</v>
      </c>
      <c r="AJ76" s="409">
        <v>44482</v>
      </c>
      <c r="AK76" s="409" t="str">
        <v>6 Special Devices from Germany 6 (WOM + 0 AH) including 0 spare for each. Assume 170 lbs crate.</v>
      </c>
      <c r="AL76" s="9" t="str">
        <v/>
      </c>
    </row>
    <row r="77" spans="1:40" ht="50.25" hidden="1" customHeight="1">
      <c r="A77" s="25">
        <v>1.5</v>
      </c>
      <c r="B77" s="48" t="str">
        <v>Installation</v>
      </c>
      <c r="C77" s="3" t="str">
        <v>Calibration Devices 89-93</v>
      </c>
      <c r="D77" s="3" t="str">
        <v>Calibration for 5 strings from DESY/Germany/Sweden (17+2 POCAMs, 7+ 1 Acoustic sensors,  3+ 1 Swedish Cameras) including spares - Do Not Deep Freeze</v>
      </c>
      <c r="E77" s="92">
        <v>62</v>
      </c>
      <c r="F77" s="92">
        <v>48</v>
      </c>
      <c r="G77" s="92">
        <v>44</v>
      </c>
      <c r="H77" s="23">
        <v>1</v>
      </c>
      <c r="I77" s="4">
        <v>75.777777777777771</v>
      </c>
      <c r="J77" s="4">
        <v>1694</v>
      </c>
      <c r="K77" s="4">
        <v>1694</v>
      </c>
      <c r="L77" s="445" t="str">
        <v>preliminary</v>
      </c>
      <c r="M77" s="6" t="str">
        <v>DNDF [-40C]</v>
      </c>
      <c r="N77" s="10" t="str">
        <v>TUM/Aachen/Sweden</v>
      </c>
      <c r="O77" s="435">
        <v>792</v>
      </c>
      <c r="P77" s="428">
        <v>44713</v>
      </c>
      <c r="Q77" s="429" t="str">
        <v>DESY - CHC</v>
      </c>
      <c r="R77" s="428">
        <v>45505</v>
      </c>
      <c r="S77" s="431" t="str">
        <v>ComSur</v>
      </c>
      <c r="T77" s="431" t="str">
        <v>DESY-CHC</v>
      </c>
      <c r="U77" s="431" t="str">
        <v>-</v>
      </c>
      <c r="V77" s="433" t="str">
        <v>ComSur</v>
      </c>
      <c r="W77" s="433" t="str">
        <v>CHC-MCM</v>
      </c>
      <c r="X77" s="433" t="str">
        <v>-</v>
      </c>
      <c r="Y77" s="435" t="str">
        <v>USAP  Air</v>
      </c>
      <c r="Z77" s="434">
        <v>45597</v>
      </c>
      <c r="AA77" s="427" t="str">
        <v>-</v>
      </c>
      <c r="AB77" s="435" t="str">
        <v>LC-130</v>
      </c>
      <c r="AC77" s="409">
        <v>45621</v>
      </c>
      <c r="AD77" s="409" t="str">
        <v>Yes</v>
      </c>
      <c r="AE77" s="409" t="str">
        <v>FY25 inter</v>
      </c>
      <c r="AF77" s="409" t="str">
        <v>FY25 intra</v>
      </c>
      <c r="AG77" s="409" t="str">
        <v>D. Williams</v>
      </c>
      <c r="AH77" s="409">
        <v>44482</v>
      </c>
      <c r="AI77" s="409" t="str">
        <v>D. Tosi</v>
      </c>
      <c r="AJ77" s="409">
        <v>44482</v>
      </c>
      <c r="AK77" s="409" t="str">
        <v>Calibration devices for strings 89-93 = 3+1 Sweden Camera,7+1 + Acoustic Module,17 +1 POCAM, including spares, 200 lbs crate</v>
      </c>
      <c r="AL77" s="9"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ht="51" hidden="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35">
        <v>426</v>
      </c>
      <c r="P79" s="428">
        <v>44713</v>
      </c>
      <c r="Q79" s="429" t="str">
        <v>ChibaU - CHC</v>
      </c>
      <c r="R79" s="428">
        <v>45139</v>
      </c>
      <c r="S79" s="431" t="str">
        <v>Cargo shipment by CHU</v>
      </c>
      <c r="T79" s="431" t="str">
        <v>ChibaU - CHC</v>
      </c>
      <c r="U79" s="431" t="str">
        <v>-</v>
      </c>
      <c r="V79" s="433" t="str">
        <v>ComSur</v>
      </c>
      <c r="W79" s="76" t="str">
        <v>CHC - MCM</v>
      </c>
      <c r="X79" s="433" t="str">
        <v>-</v>
      </c>
      <c r="Y79" s="435" t="str">
        <v>USAP Air</v>
      </c>
      <c r="Z79" s="434">
        <v>45231</v>
      </c>
      <c r="AA79" s="427" t="str">
        <v>-</v>
      </c>
      <c r="AB79" s="435" t="str">
        <v>LC-130</v>
      </c>
      <c r="AC79" s="409">
        <v>45306</v>
      </c>
      <c r="AD79" s="409" t="str">
        <v>Yes</v>
      </c>
      <c r="AE79" s="409" t="str">
        <v>FY24 inter</v>
      </c>
      <c r="AF79" s="409" t="str">
        <v>FY24 intra</v>
      </c>
      <c r="AG79" s="409" t="str">
        <v>S. Yoshida</v>
      </c>
      <c r="AH79" s="409">
        <v>44461</v>
      </c>
      <c r="AI79" s="409" t="str">
        <v>D. Tosi</v>
      </c>
      <c r="AJ79" s="409">
        <v>44461</v>
      </c>
      <c r="AK79" s="409" t="str">
        <v>Pallet sizes are under review. shipped in 20 and 40ft container. Container weight not included in the assumption that pallet will be taken out in CHC.</v>
      </c>
      <c r="AL79" s="9" t="str">
        <v/>
      </c>
    </row>
    <row r="80" spans="1:40" ht="51" hidden="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35">
        <v>426</v>
      </c>
      <c r="P80" s="428">
        <v>44713</v>
      </c>
      <c r="Q80" s="429" t="str">
        <v>ChibaU - CHC</v>
      </c>
      <c r="R80" s="428">
        <v>45139</v>
      </c>
      <c r="S80" s="431" t="str">
        <v>Cargo shipment by CHU</v>
      </c>
      <c r="T80" s="431" t="str">
        <v>ChibaU - CHC</v>
      </c>
      <c r="U80" s="431" t="str">
        <v>-</v>
      </c>
      <c r="V80" s="433" t="str">
        <v>ComSur</v>
      </c>
      <c r="W80" s="76" t="str">
        <v>CHC - MCM</v>
      </c>
      <c r="X80" s="433" t="str">
        <v>-</v>
      </c>
      <c r="Y80" s="435" t="str">
        <v>USAP Air</v>
      </c>
      <c r="Z80" s="434">
        <v>45231</v>
      </c>
      <c r="AA80" s="427" t="str">
        <v>-</v>
      </c>
      <c r="AB80" s="435" t="str">
        <v>LC-130</v>
      </c>
      <c r="AC80" s="409">
        <v>45306</v>
      </c>
      <c r="AD80" s="409" t="str">
        <v>Yes</v>
      </c>
      <c r="AE80" s="409" t="str">
        <v>FY24 inter</v>
      </c>
      <c r="AF80" s="409" t="str">
        <v>FY24 intra</v>
      </c>
      <c r="AG80" s="409" t="str">
        <v>S. Yoshida</v>
      </c>
      <c r="AH80" s="409">
        <v>44461</v>
      </c>
      <c r="AI80" s="409" t="str">
        <v>D. Tosi</v>
      </c>
      <c r="AJ80" s="409">
        <v>44461</v>
      </c>
      <c r="AK80" s="409" t="str">
        <v>Pallet sizes are under review. SPARES number to be confirmed.  shipped in 20 and 40ft container. Container weight not included in the assumption that pallet will be taken out in CHC.</v>
      </c>
      <c r="AL80" s="9" t="str">
        <v/>
      </c>
    </row>
    <row r="81" spans="1:40" ht="51" hidden="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35">
        <v>426</v>
      </c>
      <c r="P81" s="428">
        <v>44713</v>
      </c>
      <c r="Q81" s="429" t="str">
        <v>ChibaU - CHC</v>
      </c>
      <c r="R81" s="428">
        <v>45139</v>
      </c>
      <c r="S81" s="431" t="str">
        <v>Cargo shipment by CHU</v>
      </c>
      <c r="T81" s="431" t="str">
        <v>ChibaU - CHC</v>
      </c>
      <c r="U81" s="431" t="str">
        <v>-</v>
      </c>
      <c r="V81" s="433" t="str">
        <v>ComSur</v>
      </c>
      <c r="W81" s="76" t="str">
        <v>CHC - MCM</v>
      </c>
      <c r="X81" s="433" t="str">
        <v>-</v>
      </c>
      <c r="Y81" s="435" t="str">
        <v>USAP Air</v>
      </c>
      <c r="Z81" s="434">
        <v>45231</v>
      </c>
      <c r="AA81" s="427" t="str">
        <v>-</v>
      </c>
      <c r="AB81" s="435" t="str">
        <v>LC-130</v>
      </c>
      <c r="AC81" s="409">
        <v>45306</v>
      </c>
      <c r="AD81" s="409" t="str">
        <v>Yes</v>
      </c>
      <c r="AE81" s="409" t="str">
        <v>FY24 inter</v>
      </c>
      <c r="AF81" s="409" t="str">
        <v>FY24 intra</v>
      </c>
      <c r="AG81" s="409" t="str">
        <v>S. Yoshida</v>
      </c>
      <c r="AH81" s="409">
        <v>44461</v>
      </c>
      <c r="AI81" s="409" t="str">
        <v>D. Tosi</v>
      </c>
      <c r="AJ81" s="409">
        <v>44461</v>
      </c>
      <c r="AK81" s="409" t="str">
        <v>Pallet sizes are under review. shipped in 20 and 40ft container. Container weight not included in the assumption that pallet will be taken out in CHC.</v>
      </c>
      <c r="AL81" s="9" t="str">
        <v/>
      </c>
    </row>
    <row r="82" spans="1:40" ht="51" hidden="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35">
        <v>426</v>
      </c>
      <c r="P82" s="428">
        <v>44713</v>
      </c>
      <c r="Q82" s="429" t="str">
        <v>ChibaU - CHC</v>
      </c>
      <c r="R82" s="428">
        <v>45139</v>
      </c>
      <c r="S82" s="431" t="str">
        <v>Cargo shipment by CHU</v>
      </c>
      <c r="T82" s="431" t="str">
        <v>ChibaU - CHC</v>
      </c>
      <c r="U82" s="431" t="str">
        <v>-</v>
      </c>
      <c r="V82" s="433" t="str">
        <v>ComSur</v>
      </c>
      <c r="W82" s="76" t="str">
        <v>CHC - MCM</v>
      </c>
      <c r="X82" s="433" t="str">
        <v>-</v>
      </c>
      <c r="Y82" s="435" t="str">
        <v>USAP Air</v>
      </c>
      <c r="Z82" s="434">
        <v>45231</v>
      </c>
      <c r="AA82" s="427" t="str">
        <v>-</v>
      </c>
      <c r="AB82" s="435" t="str">
        <v>LC-130</v>
      </c>
      <c r="AC82" s="409">
        <v>45306</v>
      </c>
      <c r="AD82" s="409" t="str">
        <v>Yes</v>
      </c>
      <c r="AE82" s="409" t="str">
        <v>FY24 inter</v>
      </c>
      <c r="AF82" s="409" t="str">
        <v>FY24 intra</v>
      </c>
      <c r="AG82" s="409" t="str">
        <v>S. Yoshida</v>
      </c>
      <c r="AH82" s="409">
        <v>44461</v>
      </c>
      <c r="AI82" s="409" t="str">
        <v>D. Tosi</v>
      </c>
      <c r="AJ82" s="409">
        <v>44461</v>
      </c>
      <c r="AK82" s="409" t="str">
        <v>Pallet sizes are under review. SPARES number to be confirmed. shipped in 20 and 40ft container. Container weight not included in the assumption that pallet will be taken out in CHC.</v>
      </c>
      <c r="AL82" s="9" t="str">
        <v/>
      </c>
    </row>
    <row r="83" spans="1:40" ht="51" hidden="1">
      <c r="A83" s="72">
        <v>1.3</v>
      </c>
      <c r="B83" s="48" t="str">
        <v>Installation</v>
      </c>
      <c r="C83" s="1" t="str">
        <v>String Sensors 89-93</v>
      </c>
      <c r="D83" s="1" t="str">
        <v>Sensors (D-Eggs) pallets with 8 sensors in McMurdo overwinter - Do Not Deep Freeze</v>
      </c>
      <c r="E83" s="38">
        <v>41</v>
      </c>
      <c r="F83" s="38">
        <v>41</v>
      </c>
      <c r="G83" s="38">
        <v>69</v>
      </c>
      <c r="H83" s="38">
        <v>10</v>
      </c>
      <c r="I83" s="4">
        <v>671.23263888888891</v>
      </c>
      <c r="J83" s="4">
        <v>750</v>
      </c>
      <c r="K83" s="4">
        <v>7500</v>
      </c>
      <c r="L83" s="445" t="str">
        <v>actual</v>
      </c>
      <c r="M83" s="6" t="str">
        <v>DNDF [-40C]</v>
      </c>
      <c r="N83" s="10" t="str">
        <v>Chiba</v>
      </c>
      <c r="O83" s="435">
        <v>61</v>
      </c>
      <c r="P83" s="428">
        <v>45078</v>
      </c>
      <c r="Q83" s="429" t="str">
        <v>ChibaU - CHC</v>
      </c>
      <c r="R83" s="428">
        <v>45139</v>
      </c>
      <c r="S83" s="431" t="str">
        <v>Cargo shipment by CHU</v>
      </c>
      <c r="T83" s="431" t="str">
        <v>ChibaU - CHC</v>
      </c>
      <c r="U83" s="431" t="str">
        <v>-</v>
      </c>
      <c r="V83" s="433" t="str">
        <v>ComSur</v>
      </c>
      <c r="W83" s="76" t="str">
        <v>CHC - MCM</v>
      </c>
      <c r="X83" s="433" t="str">
        <v>-</v>
      </c>
      <c r="Y83" s="435" t="str">
        <v>USAP Air</v>
      </c>
      <c r="Z83" s="434">
        <v>45597</v>
      </c>
      <c r="AA83" s="427" t="str">
        <v>-</v>
      </c>
      <c r="AB83" s="435" t="str">
        <v>LC-130</v>
      </c>
      <c r="AC83" s="409">
        <v>45621</v>
      </c>
      <c r="AD83" s="409" t="str">
        <v>Yes</v>
      </c>
      <c r="AE83" s="409" t="str">
        <v>FY25 inter</v>
      </c>
      <c r="AF83" s="409" t="str">
        <v>FY25 intra</v>
      </c>
      <c r="AG83" s="409" t="str">
        <v>S. Yoshida</v>
      </c>
      <c r="AH83" s="409">
        <v>44461</v>
      </c>
      <c r="AI83" s="409" t="str">
        <v>D. Tosi</v>
      </c>
      <c r="AJ83" s="409">
        <v>44461</v>
      </c>
      <c r="AK83" s="409" t="str">
        <v>Pallet sizes are under review. shipped in 20 and 40ft container. Container weight not included in the assumption that pallet will be taken out in CHC.</v>
      </c>
      <c r="AL83" s="9" t="str">
        <v/>
      </c>
    </row>
    <row r="84" spans="1:40" ht="51" hidden="1">
      <c r="A84" s="72">
        <v>1.3</v>
      </c>
      <c r="B84" s="48" t="str">
        <v>Installation</v>
      </c>
      <c r="C84" s="1" t="str">
        <v>String Sensors 89-93</v>
      </c>
      <c r="D84" s="1" t="str">
        <v>Sensors (D-Eggs) pallets with 12 sensors  in McMurdo overwinter - Do Not Deep Freeze</v>
      </c>
      <c r="E84" s="38">
        <v>60</v>
      </c>
      <c r="F84" s="38">
        <v>41</v>
      </c>
      <c r="G84" s="38">
        <v>69</v>
      </c>
      <c r="H84" s="38">
        <v>10</v>
      </c>
      <c r="I84" s="4">
        <v>982.29166666666674</v>
      </c>
      <c r="J84" s="4">
        <v>1102</v>
      </c>
      <c r="K84" s="4">
        <v>11020</v>
      </c>
      <c r="L84" s="445" t="str">
        <v>actual</v>
      </c>
      <c r="M84" s="6" t="str">
        <v>DNDF [-40C]</v>
      </c>
      <c r="N84" s="10" t="str">
        <v>Chiba</v>
      </c>
      <c r="O84" s="435">
        <v>61</v>
      </c>
      <c r="P84" s="428">
        <v>45078</v>
      </c>
      <c r="Q84" s="429" t="str">
        <v>ChibaU - CHC</v>
      </c>
      <c r="R84" s="428">
        <v>45139</v>
      </c>
      <c r="S84" s="431" t="str">
        <v>Cargo shipment by CHU</v>
      </c>
      <c r="T84" s="431" t="str">
        <v>ChibaU - CHC</v>
      </c>
      <c r="U84" s="431" t="str">
        <v>-</v>
      </c>
      <c r="V84" s="433" t="str">
        <v>ComSur</v>
      </c>
      <c r="W84" s="76" t="str">
        <v>CHC - MCM</v>
      </c>
      <c r="X84" s="433" t="str">
        <v>-</v>
      </c>
      <c r="Y84" s="435" t="str">
        <v>USAP Air</v>
      </c>
      <c r="Z84" s="434">
        <v>45597</v>
      </c>
      <c r="AA84" s="427" t="str">
        <v>-</v>
      </c>
      <c r="AB84" s="435" t="str">
        <v>LC-130</v>
      </c>
      <c r="AC84" s="409">
        <v>45621</v>
      </c>
      <c r="AD84" s="409" t="str">
        <v>Yes</v>
      </c>
      <c r="AE84" s="409" t="str">
        <v>FY25 inter</v>
      </c>
      <c r="AF84" s="409" t="str">
        <v>FY25 intra</v>
      </c>
      <c r="AG84" s="409" t="str">
        <v>S. Yoshida</v>
      </c>
      <c r="AH84" s="409">
        <v>44461</v>
      </c>
      <c r="AI84" s="409" t="str">
        <v>D. Tosi</v>
      </c>
      <c r="AJ84" s="409">
        <v>44461</v>
      </c>
      <c r="AK84" s="409" t="str">
        <v>Pallet sizes are under review. shipped in 20 and 40ft container. Container weight not included in the assumption that pallet will be taken out in CHC.</v>
      </c>
      <c r="AL84" s="9"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ht="17.100000000000001">
      <c r="A86" s="72">
        <v>1.2</v>
      </c>
      <c r="B86" s="48" t="str">
        <v>Fuel</v>
      </c>
      <c r="C86" s="1" t="str">
        <v>Field Season 1 Fuel</v>
      </c>
      <c r="D86" s="1" t="str">
        <v>Fuel to support FY23 field season - Base fuel</v>
      </c>
      <c r="E86" s="38" t="str">
        <v/>
      </c>
      <c r="F86" s="38" t="str">
        <v/>
      </c>
      <c r="G86" s="38" t="str">
        <v/>
      </c>
      <c r="H86" s="38">
        <v>3191</v>
      </c>
      <c r="I86" s="61">
        <v>426.57462315454006</v>
      </c>
      <c r="J86" s="61">
        <v>6.8</v>
      </c>
      <c r="K86" s="4">
        <v>21698.799999999999</v>
      </c>
      <c r="L86" s="103" t="str">
        <v>preliminary</v>
      </c>
      <c r="M86" s="40" t="str">
        <v/>
      </c>
      <c r="N86" s="10" t="str">
        <v/>
      </c>
      <c r="O86" s="498" t="str">
        <v/>
      </c>
      <c r="P86" s="429" t="str">
        <v>-</v>
      </c>
      <c r="Q86" s="429" t="str">
        <v>-</v>
      </c>
      <c r="R86" s="429" t="str">
        <v>-</v>
      </c>
      <c r="S86" s="431" t="str">
        <v>-</v>
      </c>
      <c r="T86" s="431" t="str">
        <v>-</v>
      </c>
      <c r="U86" s="458" t="str">
        <v>-</v>
      </c>
      <c r="V86" s="433" t="str">
        <v>-</v>
      </c>
      <c r="W86" s="76" t="str">
        <v>-</v>
      </c>
      <c r="X86" s="433" t="str">
        <v>-</v>
      </c>
      <c r="Y86" s="435" t="str">
        <v>-</v>
      </c>
      <c r="Z86" s="426">
        <v>44866</v>
      </c>
      <c r="AA86" s="427" t="str">
        <v>-</v>
      </c>
      <c r="AB86" s="435" t="str">
        <v>LC-130/SPoT</v>
      </c>
      <c r="AC86" s="435">
        <v>44896</v>
      </c>
      <c r="AD86" s="409" t="str">
        <v>Yes</v>
      </c>
      <c r="AE86" s="409" t="str">
        <v>FY23 inter</v>
      </c>
      <c r="AF86" s="409" t="str">
        <v>FY23 intra</v>
      </c>
      <c r="AG86" s="435" t="str">
        <v>T. Benson</v>
      </c>
      <c r="AH86" s="435">
        <v>44483</v>
      </c>
      <c r="AI86" s="435" t="str">
        <v>I. McEwen</v>
      </c>
      <c r="AJ86" s="435">
        <v>44483</v>
      </c>
      <c r="AK86" s="409" t="str">
        <v/>
      </c>
      <c r="AL86" s="9" t="str">
        <v/>
      </c>
    </row>
    <row r="87" spans="1:40" ht="17.100000000000001">
      <c r="A87" s="72">
        <v>1.2</v>
      </c>
      <c r="B87" s="48" t="str">
        <v/>
      </c>
      <c r="C87" s="1" t="str">
        <v>Field Season 1 Fuel Contingency</v>
      </c>
      <c r="D87" s="1" t="str">
        <v>Fuel to support FY23 field season - Contingency</v>
      </c>
      <c r="E87" s="38" t="str">
        <v/>
      </c>
      <c r="F87" s="38" t="str">
        <v/>
      </c>
      <c r="G87" s="38" t="str">
        <v/>
      </c>
      <c r="H87" s="4">
        <v>452</v>
      </c>
      <c r="I87" s="61">
        <v>60.423606915027293</v>
      </c>
      <c r="J87" s="61">
        <v>6.8</v>
      </c>
      <c r="K87" s="4">
        <v>3073.6</v>
      </c>
      <c r="L87" s="103" t="str">
        <v>preliminary</v>
      </c>
      <c r="M87" s="40" t="str">
        <v/>
      </c>
      <c r="N87" s="10" t="str">
        <v/>
      </c>
      <c r="O87" s="498" t="str">
        <v/>
      </c>
      <c r="P87" s="429" t="str">
        <v>-</v>
      </c>
      <c r="Q87" s="429" t="str">
        <v>-</v>
      </c>
      <c r="R87" s="429" t="str">
        <v>-</v>
      </c>
      <c r="S87" s="431" t="str">
        <v>-</v>
      </c>
      <c r="T87" s="431" t="str">
        <v>-</v>
      </c>
      <c r="U87" s="458" t="str">
        <v>-</v>
      </c>
      <c r="V87" s="433" t="str">
        <v>-</v>
      </c>
      <c r="W87" s="76" t="str">
        <v>-</v>
      </c>
      <c r="X87" s="433" t="str">
        <v>-</v>
      </c>
      <c r="Y87" s="435" t="str">
        <v>-</v>
      </c>
      <c r="Z87" s="426">
        <v>44866</v>
      </c>
      <c r="AA87" s="427" t="str">
        <v>-</v>
      </c>
      <c r="AB87" s="435" t="str">
        <v>LC-130/SPoT</v>
      </c>
      <c r="AC87" s="435">
        <v>44896</v>
      </c>
      <c r="AD87" s="409" t="str">
        <v>Yes</v>
      </c>
      <c r="AE87" s="409" t="str">
        <v>FY23 inter</v>
      </c>
      <c r="AF87" s="409" t="str">
        <v>FY23 intra</v>
      </c>
      <c r="AG87" s="435" t="str">
        <v>T. Benson</v>
      </c>
      <c r="AH87" s="435">
        <v>44483</v>
      </c>
      <c r="AI87" s="435" t="str">
        <v>I. McEwen</v>
      </c>
      <c r="AJ87" s="435">
        <v>44483</v>
      </c>
      <c r="AK87" s="409" t="str">
        <v/>
      </c>
      <c r="AL87" s="9" t="str">
        <v/>
      </c>
    </row>
    <row r="88" spans="1:40" ht="17.100000000000001" hidden="1">
      <c r="A88" s="72">
        <v>1.2</v>
      </c>
      <c r="B88" s="48" t="str">
        <v/>
      </c>
      <c r="C88" s="1" t="str">
        <v>Field Season 2 Fuel</v>
      </c>
      <c r="D88" s="1" t="str">
        <v>Fuel to support FY24 field season - Base fuel, firn drilling &amp; over winter heating</v>
      </c>
      <c r="E88" s="38" t="str">
        <v/>
      </c>
      <c r="F88" s="38" t="str">
        <v/>
      </c>
      <c r="G88" s="38" t="str">
        <v/>
      </c>
      <c r="H88" s="40">
        <v>18178</v>
      </c>
      <c r="I88" s="61">
        <v>2430.0449701357657</v>
      </c>
      <c r="J88" s="61">
        <v>6.8</v>
      </c>
      <c r="K88" s="4">
        <v>123610.4</v>
      </c>
      <c r="L88" s="103" t="str">
        <v>preliminary</v>
      </c>
      <c r="M88" s="40" t="str">
        <v/>
      </c>
      <c r="N88" s="10" t="str">
        <v/>
      </c>
      <c r="O88" s="435" t="str">
        <v/>
      </c>
      <c r="P88" s="428" t="str">
        <v>-</v>
      </c>
      <c r="Q88" s="429" t="str">
        <v>-</v>
      </c>
      <c r="R88" s="428" t="str">
        <v>-</v>
      </c>
      <c r="S88" s="431" t="str">
        <v>-</v>
      </c>
      <c r="T88" s="431" t="str">
        <v>-</v>
      </c>
      <c r="U88" s="431" t="str">
        <v>-</v>
      </c>
      <c r="V88" s="433" t="str">
        <v>-</v>
      </c>
      <c r="W88" s="76" t="str">
        <v>-</v>
      </c>
      <c r="X88" s="433" t="str">
        <v>-</v>
      </c>
      <c r="Y88" s="435" t="str">
        <v>-</v>
      </c>
      <c r="Z88" s="434">
        <v>45231</v>
      </c>
      <c r="AA88" s="427" t="str">
        <v>-</v>
      </c>
      <c r="AB88" s="435" t="str">
        <v>LC-130/SPoT</v>
      </c>
      <c r="AC88" s="409">
        <v>45261</v>
      </c>
      <c r="AD88" s="409" t="str">
        <v>Yes</v>
      </c>
      <c r="AE88" s="409" t="str">
        <v>FY24 inter</v>
      </c>
      <c r="AF88" s="409" t="str">
        <v>FY24 intra</v>
      </c>
      <c r="AG88" s="409" t="str">
        <v>T. Benson</v>
      </c>
      <c r="AH88" s="409">
        <v>44483</v>
      </c>
      <c r="AI88" s="409" t="str">
        <v>I. McEwen</v>
      </c>
      <c r="AJ88" s="409">
        <v>44483</v>
      </c>
      <c r="AK88" s="409" t="str">
        <v/>
      </c>
      <c r="AL88" s="9" t="str">
        <v/>
      </c>
    </row>
    <row r="89" spans="1:40" s="91" customFormat="1" ht="21" hidden="1" customHeight="1" thickBot="1">
      <c r="A89" s="53">
        <v>1.2</v>
      </c>
      <c r="B89" s="53" t="str">
        <v/>
      </c>
      <c r="C89" s="54" t="str">
        <v>Field Season 2 Fuel Contingency</v>
      </c>
      <c r="D89" s="55" t="str">
        <v>Fuel to suppport FY24 field season - Contingency</v>
      </c>
      <c r="E89" s="44" t="str">
        <v/>
      </c>
      <c r="F89" s="44" t="str">
        <v/>
      </c>
      <c r="G89" s="44" t="str">
        <v/>
      </c>
      <c r="H89" s="56">
        <v>2373</v>
      </c>
      <c r="I89" s="57">
        <v>317.22393630389331</v>
      </c>
      <c r="J89" s="57">
        <v>6.8</v>
      </c>
      <c r="K89" s="58">
        <v>16136.4</v>
      </c>
      <c r="L89" s="58" t="str">
        <v>preliminary</v>
      </c>
      <c r="M89" s="58" t="str">
        <v/>
      </c>
      <c r="N89" s="58" t="str">
        <v/>
      </c>
      <c r="O89" s="77" t="str">
        <v/>
      </c>
      <c r="P89" s="59" t="str">
        <v>-</v>
      </c>
      <c r="Q89" s="77" t="str">
        <v>-</v>
      </c>
      <c r="R89" s="60" t="str">
        <v>-</v>
      </c>
      <c r="S89" s="59" t="str">
        <v>-</v>
      </c>
      <c r="T89" s="60" t="str">
        <v>-</v>
      </c>
      <c r="U89" s="60" t="str">
        <v>-</v>
      </c>
      <c r="V89" s="59" t="str">
        <v>-</v>
      </c>
      <c r="W89" s="60" t="str">
        <v>-</v>
      </c>
      <c r="X89" s="60" t="str">
        <v>-</v>
      </c>
      <c r="Y89" s="77" t="str">
        <v>-</v>
      </c>
      <c r="Z89" s="60">
        <v>45231</v>
      </c>
      <c r="AA89" s="60" t="str">
        <v>-</v>
      </c>
      <c r="AB89" s="77" t="str">
        <v>LC-130/SPoT</v>
      </c>
      <c r="AC89" s="59">
        <v>45261</v>
      </c>
      <c r="AD89" s="59" t="str">
        <v>Yes</v>
      </c>
      <c r="AE89" s="59" t="str">
        <v>FY24 inter</v>
      </c>
      <c r="AF89" s="59" t="str">
        <v>FY24 intra</v>
      </c>
      <c r="AG89" s="59" t="str">
        <v>T. Benson</v>
      </c>
      <c r="AH89" s="59">
        <v>44483</v>
      </c>
      <c r="AI89" s="59" t="str">
        <v>I. McEwen</v>
      </c>
      <c r="AJ89" s="59">
        <v>44483</v>
      </c>
      <c r="AK89" s="59" t="str">
        <v/>
      </c>
      <c r="AL89" s="11" t="str">
        <v/>
      </c>
      <c r="AM89" s="11"/>
      <c r="AN89" s="11"/>
    </row>
    <row r="90" spans="1:40" ht="23.1" hidden="1" customHeight="1" thickTop="1">
      <c r="A90" s="25">
        <v>1.2</v>
      </c>
      <c r="B90" s="25" t="str">
        <v/>
      </c>
      <c r="C90" s="3" t="str">
        <v>Field Season 3 Fuel</v>
      </c>
      <c r="D90" s="42" t="str">
        <v>Fuel to support FY25 field season - Base fuel &amp; deep drilling</v>
      </c>
      <c r="E90" s="43" t="str">
        <v/>
      </c>
      <c r="F90" s="43" t="str">
        <v/>
      </c>
      <c r="G90" s="44" t="str">
        <v/>
      </c>
      <c r="H90" s="45">
        <v>62694</v>
      </c>
      <c r="I90" s="46">
        <v>8380.9681679883215</v>
      </c>
      <c r="J90" s="46">
        <v>6.8</v>
      </c>
      <c r="K90" s="46">
        <v>426319.2</v>
      </c>
      <c r="L90" s="104" t="str">
        <v>preliminary</v>
      </c>
      <c r="M90" s="46" t="str">
        <v/>
      </c>
      <c r="N90" s="427" t="str">
        <v/>
      </c>
      <c r="O90" s="435" t="str">
        <v/>
      </c>
      <c r="P90" s="427" t="str">
        <v>-</v>
      </c>
      <c r="Q90" s="435" t="str">
        <v>-</v>
      </c>
      <c r="R90" s="427" t="str">
        <v>-</v>
      </c>
      <c r="S90" s="427" t="str">
        <v>-</v>
      </c>
      <c r="T90" s="427" t="str">
        <v>-</v>
      </c>
      <c r="U90" s="427" t="str">
        <v>-</v>
      </c>
      <c r="V90" s="427" t="str">
        <v>-</v>
      </c>
      <c r="W90" s="427" t="str">
        <v>-</v>
      </c>
      <c r="X90" s="427" t="str">
        <v>-</v>
      </c>
      <c r="Y90" s="435" t="str">
        <v>-</v>
      </c>
      <c r="Z90" s="434">
        <v>45597</v>
      </c>
      <c r="AA90" s="427" t="str">
        <v>-</v>
      </c>
      <c r="AB90" s="435" t="str">
        <v>LC-130/SPoT</v>
      </c>
      <c r="AC90" s="427">
        <v>45627</v>
      </c>
      <c r="AD90" s="427" t="str">
        <v>Yes</v>
      </c>
      <c r="AE90" s="427" t="str">
        <v>FY25 inter</v>
      </c>
      <c r="AF90" s="427" t="str">
        <v>FY25 intra</v>
      </c>
      <c r="AG90" s="427" t="str">
        <v>T. Benson</v>
      </c>
      <c r="AH90" s="427">
        <v>44483</v>
      </c>
      <c r="AI90" s="427" t="str">
        <v>I. McEwen</v>
      </c>
      <c r="AJ90" s="427">
        <v>44483</v>
      </c>
      <c r="AK90" s="427" t="str">
        <v/>
      </c>
      <c r="AL90" s="9" t="str">
        <v/>
      </c>
    </row>
    <row r="91" spans="1:40" ht="15.95" hidden="1">
      <c r="A91" s="2">
        <v>1.2</v>
      </c>
      <c r="B91" s="2" t="str">
        <v/>
      </c>
      <c r="C91" s="15" t="str">
        <v>Field Season 3 Fuel Contingency</v>
      </c>
      <c r="D91" s="15" t="str">
        <v>Fuel to suppport FY25 field season - Contingency</v>
      </c>
      <c r="E91" s="9" t="str">
        <v/>
      </c>
      <c r="F91" s="9" t="str">
        <v/>
      </c>
      <c r="G91" s="9" t="str">
        <v/>
      </c>
      <c r="H91" s="9">
        <v>8473</v>
      </c>
      <c r="I91" s="9">
        <v>1132.6752685642175</v>
      </c>
      <c r="J91" s="9">
        <v>6.8</v>
      </c>
      <c r="K91" s="9">
        <v>57616.4</v>
      </c>
      <c r="L91" s="74" t="str">
        <v>preliminary</v>
      </c>
      <c r="M91" s="9" t="str">
        <v/>
      </c>
      <c r="N91" s="9" t="str">
        <v/>
      </c>
      <c r="O91" s="80" t="str">
        <v/>
      </c>
      <c r="P91" s="9" t="str">
        <v>-</v>
      </c>
      <c r="Q91" s="80" t="str">
        <v>-</v>
      </c>
      <c r="R91" s="9" t="str">
        <v>-</v>
      </c>
      <c r="S91" s="9" t="str">
        <v>-</v>
      </c>
      <c r="T91" s="9" t="str">
        <v>-</v>
      </c>
      <c r="U91" s="9" t="str">
        <v>-</v>
      </c>
      <c r="V91" s="9" t="str">
        <v>-</v>
      </c>
      <c r="W91" s="9" t="str">
        <v>-</v>
      </c>
      <c r="X91" s="9" t="str">
        <v>-</v>
      </c>
      <c r="Y91" s="80" t="str">
        <v>-</v>
      </c>
      <c r="Z91" s="9">
        <v>45597</v>
      </c>
      <c r="AA91" s="9" t="str">
        <v>-</v>
      </c>
      <c r="AB91" s="80" t="str">
        <v>LC-130/SPoT</v>
      </c>
      <c r="AC91" s="9">
        <v>45627</v>
      </c>
      <c r="AD91" s="9" t="str">
        <v>Yes</v>
      </c>
      <c r="AE91" s="9" t="str">
        <v>FY25 inter</v>
      </c>
      <c r="AF91" s="9" t="str">
        <v>FY25 intra</v>
      </c>
      <c r="AG91" s="9" t="str">
        <v>T. Benson</v>
      </c>
      <c r="AH91" s="9">
        <v>44483</v>
      </c>
      <c r="AI91" s="9" t="str">
        <v>I. McEwen</v>
      </c>
      <c r="AJ91" s="9">
        <v>44483</v>
      </c>
      <c r="AK91" s="9" t="str">
        <v/>
      </c>
      <c r="AL91" s="9" t="str">
        <v/>
      </c>
    </row>
    <row r="92" spans="1:40" ht="15.95" hidden="1">
      <c r="A92" s="9" t="str">
        <v/>
      </c>
      <c r="B92" s="9" t="str">
        <v/>
      </c>
      <c r="C92" s="16" t="str">
        <v>Fuel Totals:</v>
      </c>
      <c r="D92" s="16" t="str">
        <v/>
      </c>
      <c r="E92" s="9" t="str">
        <v/>
      </c>
      <c r="F92" s="9" t="str">
        <v/>
      </c>
      <c r="G92" s="9" t="str">
        <v>TEU=&gt;</v>
      </c>
      <c r="H92" s="9">
        <v>13.39066236666152</v>
      </c>
      <c r="I92" s="9">
        <v>12747.910573061765</v>
      </c>
      <c r="J92" s="9" t="str">
        <v/>
      </c>
      <c r="K92" s="9">
        <v>648454.80000000005</v>
      </c>
      <c r="L92" s="74" t="str">
        <v/>
      </c>
      <c r="M92" s="9" t="str">
        <v/>
      </c>
      <c r="N92" s="9" t="str">
        <v/>
      </c>
      <c r="O92" s="80" t="str">
        <v/>
      </c>
      <c r="P92" s="9" t="str">
        <v/>
      </c>
      <c r="Q92" s="80" t="str">
        <v/>
      </c>
      <c r="R92" s="9" t="str">
        <v/>
      </c>
      <c r="S92" s="9" t="str">
        <v/>
      </c>
      <c r="T92" s="9" t="str">
        <v/>
      </c>
      <c r="U92" s="9" t="str">
        <v/>
      </c>
      <c r="V92" s="9" t="str">
        <v/>
      </c>
      <c r="W92" s="9" t="str">
        <v/>
      </c>
      <c r="X92" s="9" t="str">
        <v/>
      </c>
      <c r="Y92" s="80" t="str">
        <v/>
      </c>
      <c r="Z92" s="9" t="str">
        <v/>
      </c>
      <c r="AA92" s="9" t="str">
        <v/>
      </c>
      <c r="AB92" s="80" t="str">
        <v/>
      </c>
      <c r="AC92" s="9" t="str">
        <v/>
      </c>
      <c r="AD92" s="9" t="str">
        <v/>
      </c>
      <c r="AE92" s="9" t="str">
        <v/>
      </c>
      <c r="AF92" s="9" t="str">
        <v/>
      </c>
      <c r="AG92" s="9" t="str">
        <v/>
      </c>
      <c r="AH92" s="9" t="str">
        <v/>
      </c>
      <c r="AI92" s="9" t="str">
        <v/>
      </c>
      <c r="AJ92" s="9" t="str">
        <v/>
      </c>
      <c r="AK92" s="9" t="str">
        <v/>
      </c>
      <c r="AL92" s="9" t="str">
        <v/>
      </c>
    </row>
    <row r="93" spans="1:40" ht="15.95" hidden="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6"/>
      <c r="D94" s="16"/>
      <c r="Z94" s="80"/>
    </row>
    <row r="95" spans="1:40">
      <c r="C95" s="16"/>
      <c r="D95" s="16"/>
      <c r="Z95" s="80"/>
    </row>
    <row r="96" spans="1:40">
      <c r="C96" s="16"/>
      <c r="D96" s="16"/>
      <c r="Z96" s="80"/>
    </row>
    <row r="97" spans="1:26">
      <c r="C97" s="16"/>
      <c r="D97" s="16"/>
      <c r="Z97" s="80"/>
    </row>
    <row r="98" spans="1:26">
      <c r="C98" s="16"/>
      <c r="D98" s="16"/>
      <c r="Z98" s="80"/>
    </row>
    <row r="99" spans="1:26">
      <c r="C99" s="16"/>
      <c r="D99" s="16"/>
      <c r="Z99" s="80"/>
    </row>
    <row r="100" spans="1:26">
      <c r="C100" s="16"/>
      <c r="D100" s="16"/>
      <c r="Z100" s="80"/>
    </row>
    <row r="101" spans="1:26">
      <c r="C101" s="16"/>
      <c r="D101" s="16"/>
      <c r="Z101" s="80"/>
    </row>
    <row r="102" spans="1:26">
      <c r="A102" s="2"/>
      <c r="B102" s="2"/>
      <c r="C102" s="16"/>
      <c r="D102" s="16"/>
      <c r="I102" s="75"/>
      <c r="J102" s="75"/>
      <c r="K102" s="75"/>
      <c r="L102" s="105"/>
      <c r="Z102" s="80"/>
    </row>
    <row r="103" spans="1:26">
      <c r="A103" s="2"/>
      <c r="B103" s="2"/>
      <c r="C103" s="16"/>
      <c r="D103" s="16"/>
      <c r="Z103" s="80"/>
    </row>
    <row r="104" spans="1:26">
      <c r="Z104" s="80"/>
    </row>
    <row r="105" spans="1:26">
      <c r="C105" s="16"/>
      <c r="D105" s="16"/>
      <c r="Z105" s="80"/>
    </row>
    <row r="106" spans="1:26">
      <c r="C106" s="16"/>
      <c r="D106" s="16"/>
      <c r="Z106" s="80"/>
    </row>
    <row r="107" spans="1:26">
      <c r="C107" s="16"/>
      <c r="D107" s="16"/>
      <c r="Z107" s="80"/>
    </row>
    <row r="108" spans="1:26">
      <c r="Z108" s="80"/>
    </row>
    <row r="109" spans="1:26">
      <c r="C109" s="16"/>
      <c r="D109" s="16"/>
      <c r="Z109" s="80"/>
    </row>
    <row r="110" spans="1:26">
      <c r="C110" s="16"/>
      <c r="D110" s="16"/>
      <c r="Z110" s="80"/>
    </row>
    <row r="111" spans="1:26">
      <c r="Z111" s="80"/>
    </row>
    <row r="112" spans="1:26">
      <c r="L112" s="106"/>
      <c r="Z112" s="80"/>
    </row>
    <row r="113" spans="1:26">
      <c r="D113" s="73"/>
      <c r="Z113" s="80"/>
    </row>
    <row r="114" spans="1:26" ht="15.95" thickBot="1">
      <c r="D114" s="73"/>
      <c r="Z114" s="80"/>
    </row>
    <row r="115" spans="1:26" ht="15.95" customHeight="1">
      <c r="A115" s="416"/>
      <c r="B115" s="417"/>
      <c r="C115" s="81" t="s">
        <v>475</v>
      </c>
      <c r="D115" s="82" t="s">
        <v>476</v>
      </c>
      <c r="Z115" s="80"/>
    </row>
    <row r="116" spans="1:26" ht="32.1" customHeight="1">
      <c r="A116" s="414" t="s">
        <v>477</v>
      </c>
      <c r="B116" s="415"/>
      <c r="C116" s="84">
        <f>SUBTOTAL(9,I2:I100)</f>
        <v>9729.4936004399369</v>
      </c>
      <c r="D116" s="85">
        <f>SUBTOTAL(9,K2:K100)</f>
        <v>111629.40000000001</v>
      </c>
      <c r="E116" s="90"/>
      <c r="Z116" s="80"/>
    </row>
    <row r="117" spans="1:26" ht="33" customHeight="1" thickBot="1">
      <c r="A117" s="412" t="s">
        <v>478</v>
      </c>
      <c r="B117" s="413"/>
      <c r="C117" s="86">
        <f>SUMIFS(volume,mcMurdo_date,"&gt;="&amp;$A$120,mcMurdo_date,"&lt;="&amp;$B$120)</f>
        <v>9729.4936004399369</v>
      </c>
      <c r="D117" s="87">
        <f>SUMIFS(weight_,mcMurdo_date,"&gt;="&amp;A$120,mcMurdo_date,"&lt;="&amp;$B$120)</f>
        <v>111629.40000000001</v>
      </c>
      <c r="J117" s="90"/>
      <c r="Z117" s="80"/>
    </row>
    <row r="118" spans="1:26" ht="15.95" thickBot="1">
      <c r="D118" s="73"/>
      <c r="Z118" s="80"/>
    </row>
    <row r="119" spans="1:26" ht="15.95">
      <c r="A119" s="111" t="s">
        <v>479</v>
      </c>
      <c r="B119" s="81" t="s">
        <v>480</v>
      </c>
      <c r="C119" s="81"/>
      <c r="D119" s="82"/>
      <c r="Z119" s="80"/>
    </row>
    <row r="120" spans="1:26">
      <c r="A120" s="109">
        <f>'ICU_cargo MASTER INPUT SHEET'!A128</f>
        <v>44835</v>
      </c>
      <c r="B120" s="108">
        <f>'ICU_cargo MASTER INPUT SHEET'!B128</f>
        <v>44972</v>
      </c>
      <c r="D120" s="85"/>
      <c r="Z120" s="80"/>
    </row>
    <row r="121" spans="1:26" ht="15.95" thickBot="1">
      <c r="A121" s="412"/>
      <c r="B121" s="413"/>
      <c r="C121" s="86"/>
      <c r="D121" s="87"/>
      <c r="Z121" s="80"/>
    </row>
    <row r="122" spans="1:26">
      <c r="Z122" s="80"/>
    </row>
    <row r="123" spans="1:26">
      <c r="Z123" s="80"/>
    </row>
    <row r="124" spans="1:26" ht="15.95">
      <c r="A124" s="102"/>
      <c r="B124" s="102"/>
      <c r="C124" s="101"/>
      <c r="D124" s="101"/>
      <c r="Z124" s="80"/>
    </row>
    <row r="125" spans="1:26" ht="15.95">
      <c r="A125" s="102"/>
      <c r="B125" s="102"/>
      <c r="C125" s="101"/>
      <c r="D125" s="101"/>
      <c r="Z125" s="80"/>
    </row>
    <row r="126" spans="1:26" ht="15.95">
      <c r="A126" s="102"/>
      <c r="B126" s="102"/>
      <c r="C126" s="101"/>
      <c r="D126" s="101"/>
      <c r="Z126" s="80"/>
    </row>
    <row r="127" spans="1:26" ht="15.95">
      <c r="A127" s="102"/>
      <c r="B127" s="102"/>
      <c r="C127" s="101"/>
      <c r="D127" s="101"/>
      <c r="Z127" s="80"/>
    </row>
    <row r="128" spans="1:26">
      <c r="Z128" s="80"/>
    </row>
    <row r="129" spans="26:26">
      <c r="Z129" s="80"/>
    </row>
    <row r="130" spans="26:26">
      <c r="Z130" s="80"/>
    </row>
    <row r="131" spans="26:26">
      <c r="Z131" s="80"/>
    </row>
    <row r="132" spans="26:26">
      <c r="Z132" s="80"/>
    </row>
    <row r="133" spans="26:26">
      <c r="Z133" s="80"/>
    </row>
    <row r="134" spans="26:26">
      <c r="Z134" s="80"/>
    </row>
    <row r="135" spans="26:26">
      <c r="Z135" s="80"/>
    </row>
    <row r="136" spans="26:26">
      <c r="Z136" s="80"/>
    </row>
    <row r="137" spans="26:26">
      <c r="Z137" s="80"/>
    </row>
    <row r="138" spans="26:26">
      <c r="Z138" s="80"/>
    </row>
    <row r="139" spans="26:26">
      <c r="Z139" s="80"/>
    </row>
    <row r="140" spans="26:26">
      <c r="Z140" s="80"/>
    </row>
    <row r="141" spans="26:26">
      <c r="Z141" s="80"/>
    </row>
    <row r="142" spans="26:26">
      <c r="Z142" s="80"/>
    </row>
    <row r="143" spans="26:26">
      <c r="Z143" s="80"/>
    </row>
    <row r="144" spans="26:26">
      <c r="Z144" s="80"/>
    </row>
    <row r="145" spans="26:26">
      <c r="Z145" s="80"/>
    </row>
    <row r="146" spans="26:26">
      <c r="Z146" s="80"/>
    </row>
    <row r="147" spans="26:26">
      <c r="Z147" s="80"/>
    </row>
    <row r="148" spans="26:26">
      <c r="Z148" s="80"/>
    </row>
    <row r="149" spans="26:26">
      <c r="Z149" s="80"/>
    </row>
    <row r="150" spans="26:26">
      <c r="Z150" s="80"/>
    </row>
    <row r="151" spans="26:26">
      <c r="Z151" s="80"/>
    </row>
    <row r="152" spans="26:26">
      <c r="Z152" s="80"/>
    </row>
    <row r="153" spans="26:26">
      <c r="Z153" s="80"/>
    </row>
    <row r="154" spans="26:26">
      <c r="Z154" s="80"/>
    </row>
    <row r="155" spans="26:26">
      <c r="Z155" s="80"/>
    </row>
    <row r="156" spans="26:26">
      <c r="Z156" s="80"/>
    </row>
    <row r="157" spans="26:26">
      <c r="Z157" s="80"/>
    </row>
    <row r="158" spans="26:26">
      <c r="Z158" s="80"/>
    </row>
    <row r="159" spans="26:26">
      <c r="Z159" s="80"/>
    </row>
    <row r="160" spans="26:26">
      <c r="Z160" s="80"/>
    </row>
    <row r="161" spans="26:26">
      <c r="Z161" s="80"/>
    </row>
    <row r="162" spans="26:26">
      <c r="Z162" s="80"/>
    </row>
    <row r="163" spans="26:26">
      <c r="Z163" s="80"/>
    </row>
    <row r="164" spans="26:26">
      <c r="Z164" s="80"/>
    </row>
    <row r="165" spans="26:26">
      <c r="Z165" s="80"/>
    </row>
    <row r="166" spans="26:26">
      <c r="Z166" s="80"/>
    </row>
    <row r="167" spans="26:26">
      <c r="Z167" s="80"/>
    </row>
    <row r="168" spans="26:26">
      <c r="Z168" s="80"/>
    </row>
    <row r="169" spans="26:26">
      <c r="Z169" s="80"/>
    </row>
    <row r="170" spans="26:26">
      <c r="Z170" s="80"/>
    </row>
    <row r="171" spans="26:26">
      <c r="Z171" s="80"/>
    </row>
    <row r="172" spans="26:26">
      <c r="Z172" s="80"/>
    </row>
    <row r="173" spans="26:26">
      <c r="Z173" s="80"/>
    </row>
    <row r="174" spans="26:26">
      <c r="Z174" s="80"/>
    </row>
    <row r="175" spans="26:26">
      <c r="Z175" s="80"/>
    </row>
    <row r="176" spans="26:26">
      <c r="Z176" s="80"/>
    </row>
    <row r="177" spans="26:26">
      <c r="Z177" s="80"/>
    </row>
    <row r="178" spans="26:26">
      <c r="Z178" s="80"/>
    </row>
    <row r="179" spans="26:26">
      <c r="Z179" s="80"/>
    </row>
    <row r="180" spans="26:26">
      <c r="Z180" s="80"/>
    </row>
    <row r="181" spans="26:26">
      <c r="Z181" s="80"/>
    </row>
    <row r="182" spans="26:26">
      <c r="Z182" s="80"/>
    </row>
    <row r="183" spans="26:26">
      <c r="Z183" s="80"/>
    </row>
    <row r="184" spans="26:26">
      <c r="Z184" s="80"/>
    </row>
    <row r="185" spans="26:26">
      <c r="Z185" s="80"/>
    </row>
    <row r="186" spans="26:26">
      <c r="Z186" s="80"/>
    </row>
    <row r="187" spans="26:26">
      <c r="Z187" s="80"/>
    </row>
    <row r="188" spans="26:26">
      <c r="Z188" s="80"/>
    </row>
    <row r="189" spans="26:26">
      <c r="Z189" s="80"/>
    </row>
    <row r="190" spans="26:26">
      <c r="Z190" s="80"/>
    </row>
    <row r="191" spans="26:26">
      <c r="Z191" s="80"/>
    </row>
    <row r="192" spans="26:26">
      <c r="Z192" s="80"/>
    </row>
    <row r="193" spans="26:26">
      <c r="Z193" s="80"/>
    </row>
    <row r="194" spans="26:26">
      <c r="Z194" s="80"/>
    </row>
    <row r="195" spans="26:26">
      <c r="Z195" s="80"/>
    </row>
    <row r="196" spans="26:26">
      <c r="Z196" s="80"/>
    </row>
    <row r="197" spans="26:26">
      <c r="Z197" s="80"/>
    </row>
    <row r="198" spans="26:26">
      <c r="Z198" s="80"/>
    </row>
    <row r="199" spans="26:26">
      <c r="Z199" s="80"/>
    </row>
    <row r="200" spans="26:26">
      <c r="Z200" s="80"/>
    </row>
    <row r="201" spans="26:26">
      <c r="Z201" s="80"/>
    </row>
    <row r="202" spans="26:26">
      <c r="Z202" s="80"/>
    </row>
    <row r="203" spans="26:26">
      <c r="Z203" s="80"/>
    </row>
    <row r="204" spans="26:26">
      <c r="Z204" s="80"/>
    </row>
    <row r="205" spans="26:26">
      <c r="Z205" s="80"/>
    </row>
    <row r="206" spans="26:26">
      <c r="Z206" s="80"/>
    </row>
    <row r="207" spans="26:26">
      <c r="Z207" s="80"/>
    </row>
    <row r="208" spans="26:26">
      <c r="Z208" s="80"/>
    </row>
    <row r="209" spans="26:26">
      <c r="Z209" s="80"/>
    </row>
    <row r="210" spans="26:26">
      <c r="Z210" s="80"/>
    </row>
    <row r="211" spans="26:26">
      <c r="Z211" s="80"/>
    </row>
    <row r="212" spans="26:26">
      <c r="Z212" s="80"/>
    </row>
    <row r="213" spans="26:26">
      <c r="Z213" s="80"/>
    </row>
    <row r="214" spans="26:26">
      <c r="Z214" s="80"/>
    </row>
    <row r="215" spans="26:26">
      <c r="Z215" s="80"/>
    </row>
    <row r="216" spans="26:26">
      <c r="Z216" s="80"/>
    </row>
    <row r="217" spans="26:26">
      <c r="Z217" s="80"/>
    </row>
    <row r="218" spans="26:26">
      <c r="Z218" s="80"/>
    </row>
    <row r="219" spans="26:26">
      <c r="Z219" s="80"/>
    </row>
    <row r="220" spans="26:26">
      <c r="Z220" s="80"/>
    </row>
    <row r="221" spans="26:26">
      <c r="Z221" s="80"/>
    </row>
    <row r="222" spans="26:26">
      <c r="Z222" s="80"/>
    </row>
    <row r="223" spans="26:26">
      <c r="Z223" s="80"/>
    </row>
    <row r="224" spans="26:26">
      <c r="Z224" s="80"/>
    </row>
    <row r="225" spans="26:26">
      <c r="Z225" s="80"/>
    </row>
    <row r="226" spans="26:26">
      <c r="Z226" s="80"/>
    </row>
    <row r="227" spans="26:26">
      <c r="Z227" s="80"/>
    </row>
    <row r="228" spans="26:26">
      <c r="Z228" s="80"/>
    </row>
    <row r="229" spans="26:26">
      <c r="Z229" s="80"/>
    </row>
    <row r="230" spans="26:26">
      <c r="Z230" s="80"/>
    </row>
    <row r="231" spans="26:26">
      <c r="Z231" s="80"/>
    </row>
    <row r="232" spans="26:26">
      <c r="Z232" s="80"/>
    </row>
    <row r="233" spans="26:26">
      <c r="Z233" s="80"/>
    </row>
    <row r="234" spans="26:26">
      <c r="Z234" s="80"/>
    </row>
    <row r="235" spans="26:26">
      <c r="Z235" s="80"/>
    </row>
    <row r="236" spans="26:26">
      <c r="Z236" s="80"/>
    </row>
    <row r="237" spans="26:26">
      <c r="Z237" s="80"/>
    </row>
    <row r="238" spans="26:26">
      <c r="Z238" s="80"/>
    </row>
    <row r="239" spans="26:26">
      <c r="Z239" s="80"/>
    </row>
    <row r="240" spans="26:26">
      <c r="Z240" s="80"/>
    </row>
    <row r="241" spans="26:26">
      <c r="Z241" s="80"/>
    </row>
    <row r="242" spans="26:26">
      <c r="Z242" s="80"/>
    </row>
    <row r="243" spans="26:26">
      <c r="Z243" s="80"/>
    </row>
    <row r="244" spans="26:26">
      <c r="Z244" s="80"/>
    </row>
    <row r="245" spans="26:26">
      <c r="Z245" s="80"/>
    </row>
    <row r="246" spans="26:26">
      <c r="Z246" s="80"/>
    </row>
    <row r="247" spans="26:26">
      <c r="Z247" s="80"/>
    </row>
    <row r="248" spans="26:26">
      <c r="Z248" s="80"/>
    </row>
    <row r="249" spans="26:26">
      <c r="Z249" s="80"/>
    </row>
    <row r="250" spans="26:26">
      <c r="Z250" s="80"/>
    </row>
    <row r="251" spans="26:26">
      <c r="Z251" s="80"/>
    </row>
    <row r="252" spans="26:26">
      <c r="Z252" s="80"/>
    </row>
    <row r="253" spans="26:26">
      <c r="Z253" s="80"/>
    </row>
    <row r="254" spans="26:26">
      <c r="Z254" s="80"/>
    </row>
    <row r="255" spans="26:26">
      <c r="Z255" s="80"/>
    </row>
    <row r="256" spans="26:26">
      <c r="Z256" s="80"/>
    </row>
    <row r="257" spans="26:26">
      <c r="Z257" s="80"/>
    </row>
    <row r="258" spans="26:26">
      <c r="Z258" s="80"/>
    </row>
    <row r="259" spans="26:26">
      <c r="Z259" s="80"/>
    </row>
    <row r="260" spans="26:26">
      <c r="Z260" s="80"/>
    </row>
    <row r="261" spans="26:26">
      <c r="Z261" s="80"/>
    </row>
    <row r="262" spans="26:26">
      <c r="Z262" s="80"/>
    </row>
    <row r="263" spans="26:26">
      <c r="Z263" s="80"/>
    </row>
    <row r="264" spans="26:26">
      <c r="Z264" s="80"/>
    </row>
    <row r="265" spans="26:26">
      <c r="Z265" s="80"/>
    </row>
    <row r="266" spans="26:26">
      <c r="Z266" s="80"/>
    </row>
    <row r="267" spans="26:26">
      <c r="Z267" s="80"/>
    </row>
    <row r="268" spans="26:26">
      <c r="Z268" s="80"/>
    </row>
    <row r="269" spans="26:26">
      <c r="Z269" s="80"/>
    </row>
    <row r="270" spans="26:26">
      <c r="Z270" s="80"/>
    </row>
    <row r="271" spans="26:26">
      <c r="Z271" s="80"/>
    </row>
    <row r="272" spans="26:26">
      <c r="Z272" s="80"/>
    </row>
    <row r="273" spans="26:26">
      <c r="Z273" s="80"/>
    </row>
    <row r="274" spans="26:26">
      <c r="Z274" s="80"/>
    </row>
    <row r="275" spans="26:26">
      <c r="Z275" s="80"/>
    </row>
    <row r="276" spans="26:26">
      <c r="Z276" s="80"/>
    </row>
    <row r="277" spans="26:26">
      <c r="Z277" s="80"/>
    </row>
    <row r="278" spans="26:26">
      <c r="Z278" s="80"/>
    </row>
    <row r="279" spans="26:26">
      <c r="Z279" s="80"/>
    </row>
    <row r="280" spans="26:26">
      <c r="Z280" s="80"/>
    </row>
    <row r="281" spans="26:26">
      <c r="Z281" s="80"/>
    </row>
    <row r="282" spans="26:26">
      <c r="Z282" s="80"/>
    </row>
    <row r="283" spans="26:26">
      <c r="Z283" s="80"/>
    </row>
    <row r="284" spans="26:26">
      <c r="Z284" s="80"/>
    </row>
    <row r="285" spans="26:26">
      <c r="Z285" s="80"/>
    </row>
    <row r="286" spans="26:26">
      <c r="Z286" s="80"/>
    </row>
    <row r="287" spans="26:26">
      <c r="Z287" s="80"/>
    </row>
    <row r="288" spans="26:26">
      <c r="Z288" s="80"/>
    </row>
    <row r="289" spans="26:26">
      <c r="Z289" s="80"/>
    </row>
    <row r="290" spans="26:26">
      <c r="Z290" s="80"/>
    </row>
    <row r="291" spans="26:26">
      <c r="Z291" s="80"/>
    </row>
    <row r="292" spans="26:26">
      <c r="Z292" s="80"/>
    </row>
    <row r="293" spans="26:26">
      <c r="Z293" s="80"/>
    </row>
    <row r="294" spans="26:26">
      <c r="Z294" s="80"/>
    </row>
    <row r="295" spans="26:26">
      <c r="Z295" s="80"/>
    </row>
    <row r="296" spans="26:26">
      <c r="Z296" s="80"/>
    </row>
    <row r="297" spans="26:26">
      <c r="Z297" s="80"/>
    </row>
    <row r="298" spans="26:26">
      <c r="Z298" s="80"/>
    </row>
    <row r="299" spans="26:26">
      <c r="Z299" s="80"/>
    </row>
    <row r="300" spans="26:26">
      <c r="Z300" s="80"/>
    </row>
    <row r="301" spans="26:26">
      <c r="Z301" s="80"/>
    </row>
    <row r="302" spans="26:26">
      <c r="Z302" s="80"/>
    </row>
    <row r="303" spans="26:26">
      <c r="Z303" s="80"/>
    </row>
    <row r="304" spans="26:26">
      <c r="Z304" s="80"/>
    </row>
    <row r="305" spans="26:26">
      <c r="Z305" s="80"/>
    </row>
    <row r="306" spans="26:26">
      <c r="Z306" s="80"/>
    </row>
    <row r="307" spans="26:26">
      <c r="Z307" s="80"/>
    </row>
    <row r="308" spans="26:26">
      <c r="Z308" s="80"/>
    </row>
    <row r="309" spans="26:26">
      <c r="Z309" s="80"/>
    </row>
    <row r="310" spans="26:26">
      <c r="Z310" s="80"/>
    </row>
    <row r="311" spans="26:26">
      <c r="Z311" s="80"/>
    </row>
    <row r="312" spans="26:26">
      <c r="Z312" s="80"/>
    </row>
    <row r="313" spans="26:26">
      <c r="Z313" s="80"/>
    </row>
    <row r="314" spans="26:26">
      <c r="Z314" s="80"/>
    </row>
    <row r="315" spans="26:26">
      <c r="Z315" s="80"/>
    </row>
    <row r="316" spans="26:26">
      <c r="Z316" s="80"/>
    </row>
    <row r="317" spans="26:26">
      <c r="Z317" s="80"/>
    </row>
    <row r="318" spans="26:26">
      <c r="Z318" s="80"/>
    </row>
    <row r="319" spans="26:26">
      <c r="Z319" s="80"/>
    </row>
    <row r="320" spans="26:26">
      <c r="Z320" s="80"/>
    </row>
    <row r="321" spans="26:26">
      <c r="Z321" s="80"/>
    </row>
    <row r="322" spans="26:26">
      <c r="Z322" s="80"/>
    </row>
    <row r="323" spans="26:26">
      <c r="Z323" s="80"/>
    </row>
    <row r="324" spans="26:26">
      <c r="Z324" s="80"/>
    </row>
    <row r="325" spans="26:26">
      <c r="Z325" s="80"/>
    </row>
    <row r="326" spans="26:26">
      <c r="Z326" s="80"/>
    </row>
    <row r="327" spans="26:26">
      <c r="Z327" s="80"/>
    </row>
    <row r="328" spans="26:26">
      <c r="Z328" s="80"/>
    </row>
    <row r="329" spans="26:26">
      <c r="Z329" s="80"/>
    </row>
    <row r="330" spans="26:26">
      <c r="Z330" s="80"/>
    </row>
    <row r="331" spans="26:26">
      <c r="Z331" s="80"/>
    </row>
    <row r="332" spans="26:26">
      <c r="Z332" s="80"/>
    </row>
    <row r="333" spans="26:26">
      <c r="Z333" s="80"/>
    </row>
    <row r="334" spans="26:26">
      <c r="Z334" s="80"/>
    </row>
    <row r="335" spans="26:26">
      <c r="Z335" s="80"/>
    </row>
    <row r="336" spans="26:26">
      <c r="Z336" s="80"/>
    </row>
    <row r="337" spans="26:26">
      <c r="Z337" s="80"/>
    </row>
    <row r="338" spans="26:26">
      <c r="Z338" s="80"/>
    </row>
    <row r="339" spans="26:26">
      <c r="Z339" s="80"/>
    </row>
    <row r="340" spans="26:26">
      <c r="Z340" s="80"/>
    </row>
    <row r="341" spans="26:26">
      <c r="Z341" s="80"/>
    </row>
    <row r="342" spans="26:26">
      <c r="Z342" s="80"/>
    </row>
    <row r="343" spans="26:26">
      <c r="Z343" s="80"/>
    </row>
    <row r="344" spans="26:26">
      <c r="Z344" s="80"/>
    </row>
    <row r="345" spans="26:26">
      <c r="Z345" s="80"/>
    </row>
    <row r="346" spans="26:26">
      <c r="Z346" s="80"/>
    </row>
    <row r="347" spans="26:26">
      <c r="Z347" s="80"/>
    </row>
    <row r="348" spans="26:26">
      <c r="Z348" s="80"/>
    </row>
    <row r="349" spans="26:26">
      <c r="Z349" s="80"/>
    </row>
    <row r="350" spans="26:26">
      <c r="Z350" s="80"/>
    </row>
    <row r="351" spans="26:26">
      <c r="Z351" s="80"/>
    </row>
    <row r="352" spans="26:26">
      <c r="Z352" s="80"/>
    </row>
    <row r="353" spans="26:26">
      <c r="Z353" s="80"/>
    </row>
  </sheetData>
  <sheetProtection sheet="1" objects="1" scenarios="1" formatCells="0" formatColumns="0" formatRows="0" sort="0" autoFilter="0"/>
  <autoFilter ref="A1:AN93" xr:uid="{5ADB0E95-BA7D-E148-8A00-AE054E5DA9D1}">
    <filterColumn colId="24">
      <filters>
        <dateGroupItem year="2023" month="2" dateTimeGrouping="month"/>
        <dateGroupItem year="2022" month="11" dateTimeGrouping="month"/>
      </filters>
    </filterColumn>
  </autoFilter>
  <mergeCells count="4">
    <mergeCell ref="A116:B116"/>
    <mergeCell ref="A117:B117"/>
    <mergeCell ref="A121:B121"/>
    <mergeCell ref="A115:B115"/>
  </mergeCells>
  <conditionalFormatting sqref="D116">
    <cfRule type="cellIs" dxfId="26" priority="4" operator="equal">
      <formula>$D$117</formula>
    </cfRule>
  </conditionalFormatting>
  <conditionalFormatting sqref="D117">
    <cfRule type="cellIs" dxfId="25" priority="3" operator="equal">
      <formula>$D$116</formula>
    </cfRule>
  </conditionalFormatting>
  <conditionalFormatting sqref="C116">
    <cfRule type="cellIs" dxfId="24" priority="2" operator="equal">
      <formula>$C$117</formula>
    </cfRule>
  </conditionalFormatting>
  <conditionalFormatting sqref="C117">
    <cfRule type="cellIs" dxfId="23" priority="1" operator="equal">
      <formula>$C$116</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84630-DE50-AA4D-B491-6749EF8F97D2}">
  <sheetPr codeName="Sheet9" filterMode="1"/>
  <dimension ref="A1:AN353"/>
  <sheetViews>
    <sheetView topLeftCell="AA3" workbookViewId="0">
      <selection activeCell="AA3" sqref="A1:XFD1048576"/>
    </sheetView>
  </sheetViews>
  <sheetFormatPr defaultColWidth="9.140625" defaultRowHeight="15"/>
  <cols>
    <col min="1" max="2" width="12.85546875" style="9" customWidth="1"/>
    <col min="3" max="3" width="28" style="15" customWidth="1"/>
    <col min="4" max="4" width="73.7109375" style="15" customWidth="1"/>
    <col min="5" max="7" width="12" style="9" customWidth="1"/>
    <col min="8" max="8" width="10.140625" style="9" customWidth="1"/>
    <col min="9" max="10" width="8.7109375" style="9" customWidth="1"/>
    <col min="11" max="11" width="10" style="9" customWidth="1"/>
    <col min="12" max="12" width="16.28515625" style="74" customWidth="1"/>
    <col min="13" max="13" width="12.7109375" style="9" customWidth="1"/>
    <col min="14" max="14" width="17.140625" style="9" customWidth="1"/>
    <col min="15" max="15" width="17.140625" style="216" customWidth="1"/>
    <col min="16" max="16" width="28.42578125" style="80" customWidth="1"/>
    <col min="17" max="17" width="16.7109375" style="80" customWidth="1"/>
    <col min="18" max="18" width="28.42578125" style="80" customWidth="1"/>
    <col min="19" max="19" width="17.7109375" style="9" customWidth="1"/>
    <col min="20" max="21" width="16.7109375" style="9" customWidth="1"/>
    <col min="22" max="22" width="17.7109375" style="9" customWidth="1"/>
    <col min="23" max="24" width="16.7109375" style="9" customWidth="1"/>
    <col min="25" max="25" width="18.85546875" style="80" customWidth="1"/>
    <col min="26" max="26" width="19.7109375" style="383" customWidth="1"/>
    <col min="27" max="27" width="16.42578125" style="9" customWidth="1"/>
    <col min="28" max="28" width="16.42578125" style="80" customWidth="1"/>
    <col min="29" max="29" width="21.7109375" style="80" customWidth="1"/>
    <col min="30" max="32" width="16.42578125" style="9" customWidth="1"/>
    <col min="33" max="33" width="16.42578125" style="80" customWidth="1"/>
    <col min="34" max="34" width="19.7109375" style="80" customWidth="1"/>
    <col min="35" max="35" width="16.42578125" style="80" customWidth="1"/>
    <col min="36" max="36" width="21.85546875" style="80" customWidth="1"/>
    <col min="37" max="37" width="60.7109375" style="9" customWidth="1"/>
    <col min="38" max="16384" width="9.140625" style="9"/>
  </cols>
  <sheetData>
    <row r="1" spans="1:40" ht="102">
      <c r="A1" s="28" t="str" cm="1">
        <f t="array" ref="A1:AL93">IF(ISBLANK(cargo_table),"",cargo_table)</f>
        <v>Cargo Item  respective WBS Level</v>
      </c>
      <c r="B1" s="28" t="str">
        <v>Work Package</v>
      </c>
      <c r="C1" s="29" t="str">
        <v>Item Description</v>
      </c>
      <c r="D1" s="30" t="str">
        <v>Contents &amp; Comments</v>
      </c>
      <c r="E1" s="28" t="str">
        <v>Length (in)</v>
      </c>
      <c r="F1" s="28" t="str">
        <v>Width (in)</v>
      </c>
      <c r="G1" s="28" t="str">
        <v>Height (in)</v>
      </c>
      <c r="H1" s="28" t="str">
        <v>Quantity</v>
      </c>
      <c r="I1" s="28" t="str">
        <v xml:space="preserve"> Cubic feet</v>
      </c>
      <c r="J1" s="28" t="str">
        <v>Unit weight (lbs)</v>
      </c>
      <c r="K1" s="28" t="str">
        <v>Total Weight (lbs) = quantity x unit weight</v>
      </c>
      <c r="L1" s="28" t="str">
        <v>Basis of Estimate</v>
      </c>
      <c r="M1" s="28" t="str">
        <v>Special Handling?</v>
      </c>
      <c r="N1" s="28" t="str">
        <v xml:space="preserve">Owner/Guardian institution </v>
      </c>
      <c r="O1" s="403" t="str">
        <v>Time between date of completion and shipping date</v>
      </c>
      <c r="P1" s="93" t="str">
        <v xml:space="preserve">Date of expected  or actual  completion </v>
      </c>
      <c r="Q1" s="93" t="str">
        <v>Expected Route:  Owner - PTH or CHC</v>
      </c>
      <c r="R1" s="93" t="str">
        <v xml:space="preserve">Date of expected or actual shipment </v>
      </c>
      <c r="S1" s="32" t="str">
        <v>Recommended Transportation Option</v>
      </c>
      <c r="T1" s="32" t="str">
        <v>Expected Route: PTH - MCM or CHC</v>
      </c>
      <c r="U1" s="32" t="str">
        <v xml:space="preserve">Date of expected or actual shipment </v>
      </c>
      <c r="V1" s="33" t="str">
        <v>Recommended Transportation Option</v>
      </c>
      <c r="W1" s="33" t="str">
        <v>Expected Route: CHC - MCM</v>
      </c>
      <c r="X1" s="33" t="str">
        <v xml:space="preserve">Date of expected or actual shipment </v>
      </c>
      <c r="Y1" s="83" t="str">
        <v>Recommended Transportation Option</v>
      </c>
      <c r="Z1" s="83" t="str">
        <v>Date Item expected or arrived to MCM</v>
      </c>
      <c r="AA1" s="28" t="str">
        <v xml:space="preserve">Date of (planned) or actual shipment to SPA </v>
      </c>
      <c r="AB1" s="83" t="str">
        <v>Recommended LC-130 or SPOT</v>
      </c>
      <c r="AC1" s="83" t="str">
        <v>Date/Month for Items needed at South Pole</v>
      </c>
      <c r="AD1" s="28" t="str">
        <v>Critical Path</v>
      </c>
      <c r="AE1" s="28" t="str">
        <v>Intercontinental shipping</v>
      </c>
      <c r="AF1" s="28" t="str">
        <v>Intracontinental shipping</v>
      </c>
      <c r="AG1" s="83" t="str">
        <v>Validator 1
(SME)</v>
      </c>
      <c r="AH1" s="83" t="str">
        <v>Validation Date</v>
      </c>
      <c r="AI1" s="83" t="str">
        <v>Validator 2
(Logistics)</v>
      </c>
      <c r="AJ1" s="83" t="str">
        <v>Validation Date</v>
      </c>
      <c r="AK1" s="28" t="str">
        <v>Notes</v>
      </c>
      <c r="AL1" s="9" t="str">
        <v/>
      </c>
    </row>
    <row r="2" spans="1:40" ht="33.950000000000003" hidden="1">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8">
        <v>43867</v>
      </c>
      <c r="Q2" s="429" t="str">
        <v>In McMurdo</v>
      </c>
      <c r="R2" s="428" t="str">
        <v>-</v>
      </c>
      <c r="S2" s="430" t="str">
        <v>-</v>
      </c>
      <c r="T2" s="431" t="str">
        <v>In McMurdo</v>
      </c>
      <c r="U2" s="431" t="str">
        <v>-</v>
      </c>
      <c r="V2" s="432" t="str">
        <v>-</v>
      </c>
      <c r="W2" s="433" t="str">
        <v>In McMurdo</v>
      </c>
      <c r="X2" s="433" t="str">
        <v>-</v>
      </c>
      <c r="Y2" s="88" t="str">
        <v>-</v>
      </c>
      <c r="Z2" s="434" t="str">
        <v>In McMurdo</v>
      </c>
      <c r="AA2" s="409" t="str">
        <v>-</v>
      </c>
      <c r="AB2" s="435" t="str">
        <v>SPoT</v>
      </c>
      <c r="AC2" s="409">
        <v>45261</v>
      </c>
      <c r="AD2" s="409" t="str">
        <v>Yes</v>
      </c>
      <c r="AE2" s="409" t="str">
        <v>In McMurdo</v>
      </c>
      <c r="AF2" s="409" t="str">
        <v>FY24 intra</v>
      </c>
      <c r="AG2" s="409" t="str">
        <v>D. Gibson</v>
      </c>
      <c r="AH2" s="409">
        <v>44475</v>
      </c>
      <c r="AI2" s="409" t="str">
        <v>I. McEwen</v>
      </c>
      <c r="AJ2" s="10">
        <v>44475</v>
      </c>
      <c r="AK2" s="409" t="str">
        <v>Will require crane for onload/offload  - use belly band to support container sidewalls during lift.</v>
      </c>
      <c r="AL2" s="9" t="str">
        <v/>
      </c>
    </row>
    <row r="3" spans="1:40" ht="5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73" t="str">
        <v>In McMurdo</v>
      </c>
      <c r="P3" s="429">
        <v>43845</v>
      </c>
      <c r="Q3" s="429" t="str">
        <v>In McMurdo</v>
      </c>
      <c r="R3" s="429" t="str">
        <v>-</v>
      </c>
      <c r="S3" s="430" t="str">
        <v>-</v>
      </c>
      <c r="T3" s="431" t="str">
        <v>In McMurdo</v>
      </c>
      <c r="U3" s="431" t="str">
        <v>-</v>
      </c>
      <c r="V3" s="432" t="str">
        <v>-</v>
      </c>
      <c r="W3" s="433" t="str">
        <v>In McMurdo</v>
      </c>
      <c r="X3" s="433" t="str">
        <v>-</v>
      </c>
      <c r="Y3" s="88" t="str">
        <v>-</v>
      </c>
      <c r="Z3" s="426" t="str">
        <v>In McMurdo</v>
      </c>
      <c r="AA3" s="409" t="str">
        <v>-</v>
      </c>
      <c r="AB3" s="435" t="str">
        <v>SPoT</v>
      </c>
      <c r="AC3" s="435">
        <v>44927</v>
      </c>
      <c r="AD3" s="409" t="str">
        <v>Yes</v>
      </c>
      <c r="AE3" s="409" t="str">
        <v>In McMurdo</v>
      </c>
      <c r="AF3" s="409" t="str">
        <v>FY23 intra</v>
      </c>
      <c r="AG3" s="435" t="str">
        <v>D. Gibson</v>
      </c>
      <c r="AH3" s="435">
        <v>44475</v>
      </c>
      <c r="AI3" s="435" t="str">
        <v>I. McEwen</v>
      </c>
      <c r="AJ3" s="78">
        <v>44475</v>
      </c>
      <c r="AK3" s="10" t="str">
        <v>Gens 2 &amp; 3 need to be tranferred from ISO2 sleds that are limited to use on improved surfaces only. Will require crane for onload/offload  - use belly band to support container sidewalls during lift.</v>
      </c>
      <c r="AL3" s="9" t="str">
        <v/>
      </c>
    </row>
    <row r="4" spans="1:40" ht="5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73" t="str">
        <v>In McMurdo</v>
      </c>
      <c r="P4" s="429">
        <v>43845</v>
      </c>
      <c r="Q4" s="429" t="str">
        <v>In McMurdo</v>
      </c>
      <c r="R4" s="429" t="str">
        <v>-</v>
      </c>
      <c r="S4" s="430" t="str">
        <v>-</v>
      </c>
      <c r="T4" s="431" t="str">
        <v>In McMurdo</v>
      </c>
      <c r="U4" s="431" t="str">
        <v>-</v>
      </c>
      <c r="V4" s="432" t="str">
        <v>-</v>
      </c>
      <c r="W4" s="433" t="str">
        <v>In McMurdo</v>
      </c>
      <c r="X4" s="433" t="str">
        <v>-</v>
      </c>
      <c r="Y4" s="88" t="str">
        <v>-</v>
      </c>
      <c r="Z4" s="426" t="str">
        <v>In McMurdo</v>
      </c>
      <c r="AA4" s="409" t="str">
        <v>-</v>
      </c>
      <c r="AB4" s="435" t="str">
        <v>SPoT</v>
      </c>
      <c r="AC4" s="435">
        <v>44896</v>
      </c>
      <c r="AD4" s="409" t="str">
        <v>Yes</v>
      </c>
      <c r="AE4" s="409" t="str">
        <v>In McMurdo</v>
      </c>
      <c r="AF4" s="409" t="str">
        <v>FY23 intra</v>
      </c>
      <c r="AG4" s="435" t="str">
        <v>D. Gibson</v>
      </c>
      <c r="AH4" s="435">
        <v>44475</v>
      </c>
      <c r="AI4" s="435" t="str">
        <v>I. McEwen</v>
      </c>
      <c r="AJ4" s="78">
        <v>44475</v>
      </c>
      <c r="AK4" s="409" t="str">
        <v>Gens 2 &amp; 3 need to be tranferred from ISO2 sleds that are limited to use on improved surfaces only. Will require crane for onload/offload  - use belly band to support container sidewalls during lift.</v>
      </c>
      <c r="AL4" s="9" t="str">
        <v/>
      </c>
    </row>
    <row r="5" spans="1:40" ht="33.950000000000003">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73" t="str">
        <v>In McMurdo</v>
      </c>
      <c r="P5" s="429">
        <v>43753</v>
      </c>
      <c r="Q5" s="94" t="str">
        <v>In McMurdo</v>
      </c>
      <c r="R5" s="429">
        <v>43784</v>
      </c>
      <c r="S5" s="430" t="str">
        <v>Truck</v>
      </c>
      <c r="T5" s="431" t="str">
        <v>In McMurdo</v>
      </c>
      <c r="U5" s="431" t="str">
        <v>-</v>
      </c>
      <c r="V5" s="432" t="str">
        <v>-</v>
      </c>
      <c r="W5" s="433" t="str">
        <v>In McMurdo</v>
      </c>
      <c r="X5" s="433" t="str">
        <v>-</v>
      </c>
      <c r="Y5" s="88" t="str">
        <v>-</v>
      </c>
      <c r="Z5" s="426" t="str">
        <v>In McMurdo</v>
      </c>
      <c r="AA5" s="427" t="str">
        <v>-</v>
      </c>
      <c r="AB5" s="435" t="str">
        <v>LC-130/SPoT</v>
      </c>
      <c r="AC5" s="435">
        <v>44896</v>
      </c>
      <c r="AD5" s="409" t="str">
        <v>No*</v>
      </c>
      <c r="AE5" s="409" t="str">
        <v>In McMurdo</v>
      </c>
      <c r="AF5" s="409" t="str">
        <v>FY23 intra</v>
      </c>
      <c r="AG5" s="435" t="str">
        <v>D. Gibson</v>
      </c>
      <c r="AH5" s="435">
        <v>44476</v>
      </c>
      <c r="AI5" s="435" t="str">
        <v>I. McEwen</v>
      </c>
      <c r="AJ5" s="382">
        <v>44476</v>
      </c>
      <c r="AK5" s="409" t="str">
        <v>*Required onsite early in FY23 for refit/pre-drill activity support unless ASC can supply dedicated loader for Upgrade use</v>
      </c>
      <c r="AL5" s="9" t="str">
        <v/>
      </c>
    </row>
    <row r="6" spans="1:40" ht="44.1" hidden="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8">
        <v>43814</v>
      </c>
      <c r="Q6" s="429" t="str">
        <v>In McMurdo</v>
      </c>
      <c r="R6" s="428" t="str">
        <v/>
      </c>
      <c r="S6" s="431" t="str">
        <v/>
      </c>
      <c r="T6" s="431" t="str">
        <v>In McMurdo</v>
      </c>
      <c r="U6" s="431" t="str">
        <v>-</v>
      </c>
      <c r="V6" s="433" t="str">
        <v>-</v>
      </c>
      <c r="W6" s="433" t="str">
        <v>In McMurdo</v>
      </c>
      <c r="X6" s="433" t="str">
        <v>-</v>
      </c>
      <c r="Y6" s="88" t="str">
        <v>-</v>
      </c>
      <c r="Z6" s="434" t="str">
        <v>In McMurdo</v>
      </c>
      <c r="AA6" s="427" t="str">
        <v>-</v>
      </c>
      <c r="AB6" s="435" t="str">
        <v>LC-130/SPoT</v>
      </c>
      <c r="AC6" s="409">
        <v>45292</v>
      </c>
      <c r="AD6" s="409" t="str">
        <v>No</v>
      </c>
      <c r="AE6" s="409" t="str">
        <v>In McMurdo</v>
      </c>
      <c r="AF6" s="409" t="str">
        <v>FY24 intra</v>
      </c>
      <c r="AG6" s="409" t="str">
        <v>D. Gibson</v>
      </c>
      <c r="AH6" s="409">
        <v>44477</v>
      </c>
      <c r="AI6" s="409" t="str">
        <v>I. McEwen</v>
      </c>
      <c r="AJ6" s="409">
        <v>44477</v>
      </c>
      <c r="AK6" s="409" t="str">
        <v>Testing/limited operation of Gens can be accomplished without hoods - Hoods required for the drill season</v>
      </c>
      <c r="AL6" s="9" t="str">
        <v/>
      </c>
    </row>
    <row r="7" spans="1:40" ht="38.25" hidden="1"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8">
        <v>43845</v>
      </c>
      <c r="Q7" s="429" t="str">
        <v>In McMurdo</v>
      </c>
      <c r="R7" s="428" t="str">
        <v/>
      </c>
      <c r="S7" s="431" t="str">
        <v/>
      </c>
      <c r="T7" s="431" t="str">
        <v>In McMurdo</v>
      </c>
      <c r="U7" s="431" t="str">
        <v>-</v>
      </c>
      <c r="V7" s="433" t="str">
        <v>-</v>
      </c>
      <c r="W7" s="433" t="str">
        <v>In McMurdo</v>
      </c>
      <c r="X7" s="433" t="str">
        <v>-</v>
      </c>
      <c r="Y7" s="88" t="str">
        <v>-</v>
      </c>
      <c r="Z7" s="434" t="str">
        <v>In McMurdo</v>
      </c>
      <c r="AA7" s="427" t="str">
        <v>-</v>
      </c>
      <c r="AB7" s="435" t="str">
        <v>LC-130/SPoT</v>
      </c>
      <c r="AC7" s="409">
        <v>45261</v>
      </c>
      <c r="AD7" s="409" t="str">
        <v>Yes</v>
      </c>
      <c r="AE7" s="409" t="str">
        <v>In McMurdo</v>
      </c>
      <c r="AF7" s="409" t="str">
        <v>FY24 intra</v>
      </c>
      <c r="AG7" s="409" t="str">
        <v>D. Gibson</v>
      </c>
      <c r="AH7" s="409">
        <v>44477</v>
      </c>
      <c r="AI7" s="409" t="str">
        <v>I. McEwen</v>
      </c>
      <c r="AJ7" s="409">
        <v>44477</v>
      </c>
      <c r="AK7" s="409" t="str">
        <v>Bermed in McMurdo - SPOTSA</v>
      </c>
      <c r="AL7" s="9" t="str">
        <v/>
      </c>
    </row>
    <row r="8" spans="1:40" ht="17.100000000000001" hidden="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8">
        <v>43845</v>
      </c>
      <c r="Q8" s="429" t="str">
        <v>In McMurdo</v>
      </c>
      <c r="R8" s="428" t="str">
        <v>-</v>
      </c>
      <c r="S8" s="431" t="str">
        <v>-</v>
      </c>
      <c r="T8" s="431" t="str">
        <v>In McMurdo</v>
      </c>
      <c r="U8" s="431" t="str">
        <v>-</v>
      </c>
      <c r="V8" s="432" t="str">
        <v>-</v>
      </c>
      <c r="W8" s="433" t="str">
        <v>In McMurdo</v>
      </c>
      <c r="X8" s="433" t="str">
        <v>-</v>
      </c>
      <c r="Y8" s="88" t="str">
        <v>-</v>
      </c>
      <c r="Z8" s="434" t="str">
        <v>In McMurdo</v>
      </c>
      <c r="AA8" s="427" t="str">
        <v>-</v>
      </c>
      <c r="AB8" s="435" t="str">
        <v>LC-130/SPoT</v>
      </c>
      <c r="AC8" s="409">
        <v>45261</v>
      </c>
      <c r="AD8" s="409" t="str">
        <v>Yes</v>
      </c>
      <c r="AE8" s="409" t="str">
        <v>In McMurdo</v>
      </c>
      <c r="AF8" s="409" t="str">
        <v>FY24 intra</v>
      </c>
      <c r="AG8" s="409" t="str">
        <v>D. Gibson</v>
      </c>
      <c r="AH8" s="409">
        <v>44477</v>
      </c>
      <c r="AI8" s="409" t="str">
        <v>I. McEwen</v>
      </c>
      <c r="AJ8" s="409">
        <v>44477</v>
      </c>
      <c r="AK8" s="409" t="str">
        <v/>
      </c>
      <c r="AL8" s="9" t="str">
        <v/>
      </c>
    </row>
    <row r="9" spans="1:40" ht="17.100000000000001" hidden="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8">
        <v>43845</v>
      </c>
      <c r="Q9" s="429" t="str">
        <v>In McMurdo</v>
      </c>
      <c r="R9" s="428" t="str">
        <v>-</v>
      </c>
      <c r="S9" s="431" t="str">
        <v>-</v>
      </c>
      <c r="T9" s="431" t="str">
        <v>In McMurdo</v>
      </c>
      <c r="U9" s="431" t="str">
        <v>-</v>
      </c>
      <c r="V9" s="432" t="str">
        <v>-</v>
      </c>
      <c r="W9" s="433" t="str">
        <v>In McMurdo</v>
      </c>
      <c r="X9" s="433" t="str">
        <v>-</v>
      </c>
      <c r="Y9" s="88" t="str">
        <v>-</v>
      </c>
      <c r="Z9" s="434" t="str">
        <v>In McMurdo</v>
      </c>
      <c r="AA9" s="427" t="str">
        <v>-</v>
      </c>
      <c r="AB9" s="435" t="str">
        <v>LC-130/SPoT</v>
      </c>
      <c r="AC9" s="409">
        <v>45261</v>
      </c>
      <c r="AD9" s="409" t="str">
        <v>Yes</v>
      </c>
      <c r="AE9" s="409" t="str">
        <v>In McMurdo</v>
      </c>
      <c r="AF9" s="409" t="str">
        <v>FY24 intra</v>
      </c>
      <c r="AG9" s="409" t="str">
        <v>D. Gibson</v>
      </c>
      <c r="AH9" s="409">
        <v>44477</v>
      </c>
      <c r="AI9" s="409" t="str">
        <v>I. McEwen</v>
      </c>
      <c r="AJ9" s="409">
        <v>44477</v>
      </c>
      <c r="AK9" s="409" t="str">
        <v/>
      </c>
      <c r="AL9" s="9" t="str">
        <v/>
      </c>
    </row>
    <row r="10" spans="1:40" s="91" customFormat="1" ht="31.5" hidden="1"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8">
        <v>43845</v>
      </c>
      <c r="Q10" s="429" t="str">
        <v>In McMurdo</v>
      </c>
      <c r="R10" s="428" t="str">
        <v/>
      </c>
      <c r="S10" s="431" t="str">
        <v/>
      </c>
      <c r="T10" s="431" t="str">
        <v>In McMurdo</v>
      </c>
      <c r="U10" s="431" t="str">
        <v>-</v>
      </c>
      <c r="V10" s="433" t="str">
        <v>-</v>
      </c>
      <c r="W10" s="433" t="str">
        <v>In McMurdo</v>
      </c>
      <c r="X10" s="433" t="str">
        <v>-</v>
      </c>
      <c r="Y10" s="88" t="str">
        <v>-</v>
      </c>
      <c r="Z10" s="434" t="str">
        <v>In McMurdo</v>
      </c>
      <c r="AA10" s="427" t="str">
        <v>-</v>
      </c>
      <c r="AB10" s="435" t="str">
        <v>LC-130/SPoT</v>
      </c>
      <c r="AC10" s="409">
        <v>45275</v>
      </c>
      <c r="AD10" s="409" t="str">
        <v>No</v>
      </c>
      <c r="AE10" s="409" t="str">
        <v>In McMurdo</v>
      </c>
      <c r="AF10" s="409" t="str">
        <v>FY24 intra</v>
      </c>
      <c r="AG10" s="409" t="str">
        <v>D. Gibson</v>
      </c>
      <c r="AH10" s="409">
        <v>44477</v>
      </c>
      <c r="AI10" s="409" t="str">
        <v>I. McEwen</v>
      </c>
      <c r="AJ10" s="409">
        <v>44477</v>
      </c>
      <c r="AK10" s="409" t="str">
        <v>Bermed in McMurdo - SPOTSA on UNL flatrack</v>
      </c>
      <c r="AL10" s="9" t="str">
        <v/>
      </c>
      <c r="AM10" s="9"/>
      <c r="AN10" s="9"/>
    </row>
    <row r="11" spans="1:40" ht="5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73" t="str">
        <v>In McMurdo</v>
      </c>
      <c r="P11" s="429">
        <v>43845</v>
      </c>
      <c r="Q11" s="429" t="str">
        <v>In McMurdo</v>
      </c>
      <c r="R11" s="429" t="str">
        <v>-</v>
      </c>
      <c r="S11" s="431" t="str">
        <v>-</v>
      </c>
      <c r="T11" s="431" t="str">
        <v>In McMurdo</v>
      </c>
      <c r="U11" s="431" t="str">
        <v>-</v>
      </c>
      <c r="V11" s="433" t="str">
        <v>-</v>
      </c>
      <c r="W11" s="433" t="str">
        <v>In McMurdo</v>
      </c>
      <c r="X11" s="433" t="str">
        <v>-</v>
      </c>
      <c r="Y11" s="88" t="str">
        <v>-</v>
      </c>
      <c r="Z11" s="426" t="str">
        <v>In McMurdo</v>
      </c>
      <c r="AA11" s="427" t="str">
        <v>-</v>
      </c>
      <c r="AB11" s="435" t="str">
        <v>LC-130/SPoT</v>
      </c>
      <c r="AC11" s="435">
        <v>44927</v>
      </c>
      <c r="AD11" s="409" t="str">
        <v>Yes</v>
      </c>
      <c r="AE11" s="409" t="str">
        <v>In McMurdo</v>
      </c>
      <c r="AF11" s="409" t="str">
        <v>FY23 intra</v>
      </c>
      <c r="AG11" s="435" t="str">
        <v>D. Gibson</v>
      </c>
      <c r="AH11" s="435">
        <v>44477</v>
      </c>
      <c r="AI11" s="435" t="str">
        <v>I. McEwen</v>
      </c>
      <c r="AJ11" s="435">
        <v>44477</v>
      </c>
      <c r="AK11" s="409" t="str">
        <v>Bermed in McMurdo - SPOTSA on UNL flatrack - overland shipment preferred due to complexities of air transport certification - can be laid on side once drained</v>
      </c>
      <c r="AL11" s="9" t="str">
        <v/>
      </c>
    </row>
    <row r="12" spans="1:40" ht="51" hidden="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8">
        <v>43845</v>
      </c>
      <c r="Q12" s="429" t="str">
        <v>In McMurdo</v>
      </c>
      <c r="R12" s="428" t="str">
        <v/>
      </c>
      <c r="S12" s="431" t="str">
        <v/>
      </c>
      <c r="T12" s="431" t="str">
        <v>In McMurdo</v>
      </c>
      <c r="U12" s="431" t="str">
        <v>-</v>
      </c>
      <c r="V12" s="433" t="str">
        <v>-</v>
      </c>
      <c r="W12" s="433" t="str">
        <v>In McMurdo</v>
      </c>
      <c r="X12" s="433" t="str">
        <v>-</v>
      </c>
      <c r="Y12" s="88" t="str">
        <v>-</v>
      </c>
      <c r="Z12" s="434" t="str">
        <v>In McMurdo</v>
      </c>
      <c r="AA12" s="409" t="str">
        <v>-</v>
      </c>
      <c r="AB12" s="435" t="str">
        <v>SPoT</v>
      </c>
      <c r="AC12" s="409">
        <v>45292</v>
      </c>
      <c r="AD12" s="409" t="str">
        <v>Yes</v>
      </c>
      <c r="AE12" s="409" t="str">
        <v>In McMurdo</v>
      </c>
      <c r="AF12" s="409" t="str">
        <v>FY24 intra</v>
      </c>
      <c r="AG12" s="409" t="str">
        <v>D. Gibson</v>
      </c>
      <c r="AH12" s="409">
        <v>44477</v>
      </c>
      <c r="AI12" s="409" t="str">
        <v>I. McEwen</v>
      </c>
      <c r="AJ12" s="409">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ht="5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399" t="str">
        <v>Already at PTH</v>
      </c>
      <c r="P14" s="429">
        <v>44193</v>
      </c>
      <c r="Q14" s="94" t="str">
        <v>Already at PTH</v>
      </c>
      <c r="R14" s="429">
        <v>44211</v>
      </c>
      <c r="S14" s="430" t="str">
        <v>Truck</v>
      </c>
      <c r="T14" s="440" t="str">
        <v>PTH - MCM</v>
      </c>
      <c r="U14" s="431" t="str">
        <v>-</v>
      </c>
      <c r="V14" s="432" t="str">
        <v>USAP Vessel</v>
      </c>
      <c r="W14" s="433" t="str">
        <v>USAP Vessel</v>
      </c>
      <c r="X14" s="433" t="str">
        <v>-</v>
      </c>
      <c r="Y14" s="100" t="str">
        <v>-</v>
      </c>
      <c r="Z14" s="426">
        <v>44598</v>
      </c>
      <c r="AA14" s="427" t="str">
        <v>-</v>
      </c>
      <c r="AB14" s="435" t="str">
        <v>LC-130/SPoT</v>
      </c>
      <c r="AC14" s="435">
        <v>44910</v>
      </c>
      <c r="AD14" s="409" t="str">
        <v>No*</v>
      </c>
      <c r="AE14" s="409" t="str">
        <v>FY22 inter</v>
      </c>
      <c r="AF14" s="409" t="str">
        <v>FY23 intra</v>
      </c>
      <c r="AG14" s="435" t="str">
        <v>D. Gibson</v>
      </c>
      <c r="AH14" s="435">
        <v>44477</v>
      </c>
      <c r="AI14" s="435" t="str">
        <v>I. McEwen</v>
      </c>
      <c r="AJ14" s="435">
        <v>44477</v>
      </c>
      <c r="AK14" s="409" t="str">
        <v>*While this shipment is not on the critical path additional ASC crane support will be required to overcome delayed arrival or sleds furnished from the South Pole inventory</v>
      </c>
      <c r="AL14" s="9" t="str">
        <v/>
      </c>
    </row>
    <row r="15" spans="1:40" ht="33.950000000000003" hidden="1">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35" t="str">
        <v>Already at PTH</v>
      </c>
      <c r="P15" s="428">
        <v>44112</v>
      </c>
      <c r="Q15" s="94" t="str">
        <v>Already at PTH</v>
      </c>
      <c r="R15" s="428">
        <v>44159</v>
      </c>
      <c r="S15" s="430" t="str">
        <v>Truck</v>
      </c>
      <c r="T15" s="12" t="str">
        <v>PTH - MCM</v>
      </c>
      <c r="U15" s="431" t="str">
        <v>-</v>
      </c>
      <c r="V15" s="432" t="str">
        <v>USAP Vessel</v>
      </c>
      <c r="W15" s="433" t="str">
        <v>USAP Vessel</v>
      </c>
      <c r="X15" s="433" t="str">
        <v>-</v>
      </c>
      <c r="Y15" s="100" t="str">
        <v>-</v>
      </c>
      <c r="Z15" s="434">
        <v>44963</v>
      </c>
      <c r="AA15" s="409" t="str">
        <v>-</v>
      </c>
      <c r="AB15" s="435" t="str">
        <v>LC-130/SPoT</v>
      </c>
      <c r="AC15" s="409">
        <v>45292</v>
      </c>
      <c r="AD15" s="409" t="str">
        <v>Yes</v>
      </c>
      <c r="AE15" s="409" t="str">
        <v>FY23 inter</v>
      </c>
      <c r="AF15" s="61" t="str">
        <v>FY24 intra</v>
      </c>
      <c r="AG15" s="61" t="str">
        <v>D. Gibson</v>
      </c>
      <c r="AH15" s="61">
        <v>44477</v>
      </c>
      <c r="AI15" s="61" t="str">
        <v>I. McEwen</v>
      </c>
      <c r="AJ15" s="409">
        <v>44477</v>
      </c>
      <c r="AK15" s="409" t="str">
        <v/>
      </c>
      <c r="AL15" s="9" t="str">
        <v/>
      </c>
    </row>
    <row r="16" spans="1:40" ht="33.950000000000003" hidden="1">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35" t="str">
        <v>Already at PTH</v>
      </c>
      <c r="P16" s="428">
        <v>44112</v>
      </c>
      <c r="Q16" s="94" t="str">
        <v>Already at PTH</v>
      </c>
      <c r="R16" s="428">
        <v>44159</v>
      </c>
      <c r="S16" s="430" t="str">
        <v>Truck</v>
      </c>
      <c r="T16" s="12" t="str">
        <v>PTH - MCM</v>
      </c>
      <c r="U16" s="431" t="str">
        <v>-</v>
      </c>
      <c r="V16" s="432" t="str">
        <v>USAP Vessel</v>
      </c>
      <c r="W16" s="433" t="str">
        <v>USAP Vessel</v>
      </c>
      <c r="X16" s="433" t="str">
        <v>-</v>
      </c>
      <c r="Y16" s="100" t="str">
        <v>-</v>
      </c>
      <c r="Z16" s="434">
        <v>44963</v>
      </c>
      <c r="AA16" s="409" t="str">
        <v>-</v>
      </c>
      <c r="AB16" s="435" t="str">
        <v>LC-130/SPoT</v>
      </c>
      <c r="AC16" s="409">
        <v>45292</v>
      </c>
      <c r="AD16" s="409" t="str">
        <v>Yes</v>
      </c>
      <c r="AE16" s="409" t="str">
        <v>FY23 inter</v>
      </c>
      <c r="AF16" s="61" t="str">
        <v>FY24 intra</v>
      </c>
      <c r="AG16" s="61" t="str">
        <v>D. Gibson</v>
      </c>
      <c r="AH16" s="61">
        <v>44477</v>
      </c>
      <c r="AI16" s="61" t="str">
        <v>I. McEwen</v>
      </c>
      <c r="AJ16" s="409">
        <v>44477</v>
      </c>
      <c r="AK16" s="409" t="str">
        <v/>
      </c>
      <c r="AL16" s="9" t="str">
        <v/>
      </c>
    </row>
    <row r="17" spans="1:40" ht="34.35" hidden="1"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35" t="str">
        <v>Already at PTH</v>
      </c>
      <c r="P17" s="428">
        <v>44041</v>
      </c>
      <c r="Q17" s="94" t="str">
        <v>Already at PTH</v>
      </c>
      <c r="R17" s="428">
        <v>44058</v>
      </c>
      <c r="S17" s="430" t="str">
        <v>Truck</v>
      </c>
      <c r="T17" s="12" t="str">
        <v>PTH - MCM</v>
      </c>
      <c r="U17" s="431" t="str">
        <v>-</v>
      </c>
      <c r="V17" s="432" t="str">
        <v>USAP Vessel</v>
      </c>
      <c r="W17" s="433" t="str">
        <v>USAP Vessel</v>
      </c>
      <c r="X17" s="433" t="str">
        <v>-</v>
      </c>
      <c r="Y17" s="100" t="str">
        <v>-</v>
      </c>
      <c r="Z17" s="434">
        <v>44963</v>
      </c>
      <c r="AA17" s="427" t="str">
        <v>-</v>
      </c>
      <c r="AB17" s="435" t="str">
        <v>LC-130/SPoT</v>
      </c>
      <c r="AC17" s="409">
        <v>45292</v>
      </c>
      <c r="AD17" s="409" t="str">
        <v>Yes</v>
      </c>
      <c r="AE17" s="409" t="str">
        <v>FY23 inter</v>
      </c>
      <c r="AF17" s="61" t="str">
        <v>FY24 intra</v>
      </c>
      <c r="AG17" s="61" t="str">
        <v>D. Gibson</v>
      </c>
      <c r="AH17" s="61">
        <v>44477</v>
      </c>
      <c r="AI17" s="61" t="str">
        <v>I. McEwen</v>
      </c>
      <c r="AJ17" s="409">
        <v>44477</v>
      </c>
      <c r="AK17" s="409" t="str">
        <v>Hose to be installed on Main Supply Hose Reel upon arrival at Pole</v>
      </c>
      <c r="AL17" s="9" t="str">
        <v/>
      </c>
    </row>
    <row r="18" spans="1:40" ht="34.35" hidden="1"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35" t="str">
        <v>Already at PTH</v>
      </c>
      <c r="P18" s="428">
        <v>44154</v>
      </c>
      <c r="Q18" s="94" t="str">
        <v>Already at PTH</v>
      </c>
      <c r="R18" s="428">
        <v>44211</v>
      </c>
      <c r="S18" s="430" t="str">
        <v>Truck</v>
      </c>
      <c r="T18" s="12" t="str">
        <v>PTH - MCM</v>
      </c>
      <c r="U18" s="431" t="str">
        <v>-</v>
      </c>
      <c r="V18" s="432" t="str">
        <v>USAP Vessel</v>
      </c>
      <c r="W18" s="433" t="str">
        <v>USAP Vessel</v>
      </c>
      <c r="X18" s="433" t="str">
        <v>-</v>
      </c>
      <c r="Y18" s="100" t="str">
        <v>-</v>
      </c>
      <c r="Z18" s="434">
        <v>44963</v>
      </c>
      <c r="AA18" s="427" t="str">
        <v>-</v>
      </c>
      <c r="AB18" s="435" t="str">
        <v>LC-130/SPoT</v>
      </c>
      <c r="AC18" s="409">
        <v>45292</v>
      </c>
      <c r="AD18" s="409" t="str">
        <v>Yes</v>
      </c>
      <c r="AE18" s="409" t="str">
        <v>FY23 inter</v>
      </c>
      <c r="AF18" s="61" t="str">
        <v>FY24 intra</v>
      </c>
      <c r="AG18" s="61" t="str">
        <v>D. Gibson</v>
      </c>
      <c r="AH18" s="61">
        <v>44477</v>
      </c>
      <c r="AI18" s="61" t="str">
        <v>I. McEwen</v>
      </c>
      <c r="AJ18" s="409">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63" t="str">
        <v/>
      </c>
      <c r="F19" s="64" t="str">
        <v/>
      </c>
      <c r="G19" s="44" t="str">
        <v>TEU=&gt;</v>
      </c>
      <c r="H19" s="63">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ht="33.950000000000003">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56">
        <v>12</v>
      </c>
      <c r="P20" s="429">
        <v>44503</v>
      </c>
      <c r="Q20" s="429" t="str">
        <v>UWM - PTH</v>
      </c>
      <c r="R20" s="429">
        <v>44515</v>
      </c>
      <c r="S20" s="430" t="str">
        <v xml:space="preserve"> Truck</v>
      </c>
      <c r="T20" s="440" t="str">
        <v>PTH - MCM</v>
      </c>
      <c r="U20" s="47" t="str">
        <v>-</v>
      </c>
      <c r="V20" s="432" t="str">
        <v>USAP Vessel</v>
      </c>
      <c r="W20" s="433" t="str">
        <v>USAP Vessel</v>
      </c>
      <c r="X20" s="433" t="str">
        <v>-</v>
      </c>
      <c r="Y20" s="100" t="str">
        <v>-</v>
      </c>
      <c r="Z20" s="426">
        <v>44598</v>
      </c>
      <c r="AA20" s="409" t="str">
        <v>-</v>
      </c>
      <c r="AB20" s="435" t="str">
        <v>LC-130</v>
      </c>
      <c r="AC20" s="435">
        <v>44880</v>
      </c>
      <c r="AD20" s="409" t="str">
        <v>Yes</v>
      </c>
      <c r="AE20" s="409" t="str">
        <v>FY22 inter</v>
      </c>
      <c r="AF20" s="61" t="str">
        <v>FY23 intra</v>
      </c>
      <c r="AG20" s="435" t="str">
        <v>D. Gibson</v>
      </c>
      <c r="AH20" s="204">
        <v>44477</v>
      </c>
      <c r="AI20" s="204" t="str">
        <v>I. McEwen</v>
      </c>
      <c r="AJ20" s="435">
        <v>44477</v>
      </c>
      <c r="AK20" s="61" t="str">
        <v xml:space="preserve">8' container moves with contents by LC130 or is broken down for movement by Basler. Packing in progress. </v>
      </c>
      <c r="AL20" s="9" t="str">
        <v/>
      </c>
    </row>
    <row r="21" spans="1:40" ht="5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56">
        <v>2</v>
      </c>
      <c r="P21" s="429">
        <v>44513</v>
      </c>
      <c r="Q21" s="429" t="str">
        <v>UWM - PTH</v>
      </c>
      <c r="R21" s="429">
        <v>44515</v>
      </c>
      <c r="S21" s="430" t="str">
        <v xml:space="preserve"> Truck</v>
      </c>
      <c r="T21" s="440" t="str">
        <v>PTH - MCM</v>
      </c>
      <c r="U21" s="47" t="str">
        <v>-</v>
      </c>
      <c r="V21" s="432" t="str">
        <v>USAP Vessel</v>
      </c>
      <c r="W21" s="433" t="str">
        <v>USAP Vessel</v>
      </c>
      <c r="X21" s="433" t="str">
        <v>-</v>
      </c>
      <c r="Y21" s="100" t="str">
        <v>-</v>
      </c>
      <c r="Z21" s="426">
        <v>44598</v>
      </c>
      <c r="AA21" s="409" t="str">
        <v>-</v>
      </c>
      <c r="AB21" s="435" t="str">
        <v>LC-130/SPoT</v>
      </c>
      <c r="AC21" s="435">
        <v>44896</v>
      </c>
      <c r="AD21" s="409" t="str">
        <v>Yes</v>
      </c>
      <c r="AE21" s="409" t="str">
        <v>FY22 inter</v>
      </c>
      <c r="AF21" s="409" t="str">
        <v>FY23 intra</v>
      </c>
      <c r="AG21" s="435" t="str">
        <v>D. Gibson</v>
      </c>
      <c r="AH21" s="435">
        <v>44477</v>
      </c>
      <c r="AI21" s="435" t="str">
        <v>I. McEwen</v>
      </c>
      <c r="AJ21" s="435">
        <v>44477</v>
      </c>
      <c r="AK21" s="409" t="str">
        <v xml:space="preserve">For air shipment container contents will need to be unloaded and palletized. Container procurement delayed by shortage. Packing in progress. </v>
      </c>
      <c r="AL21" s="9" t="str">
        <v/>
      </c>
    </row>
    <row r="22" spans="1:40" ht="5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56" t="str">
        <v>in transit</v>
      </c>
      <c r="P22" s="429">
        <v>44502</v>
      </c>
      <c r="Q22" s="429" t="str">
        <v>UWM - PTH</v>
      </c>
      <c r="R22" s="429">
        <v>44515</v>
      </c>
      <c r="S22" s="430" t="str">
        <v>Truck</v>
      </c>
      <c r="T22" s="431" t="str">
        <v>PTH - MCM</v>
      </c>
      <c r="U22" s="47" t="str">
        <v>-</v>
      </c>
      <c r="V22" s="432" t="str">
        <v>USAP Vessel</v>
      </c>
      <c r="W22" s="433" t="str">
        <v>USAP Vessel</v>
      </c>
      <c r="X22" s="433" t="str">
        <v>-</v>
      </c>
      <c r="Y22" s="100" t="str">
        <v>-</v>
      </c>
      <c r="Z22" s="426">
        <v>44598</v>
      </c>
      <c r="AA22" s="409" t="str">
        <v>-</v>
      </c>
      <c r="AB22" s="435" t="str">
        <v>LC-130/SPoT</v>
      </c>
      <c r="AC22" s="435">
        <v>44910</v>
      </c>
      <c r="AD22" s="409" t="str">
        <v>Yes</v>
      </c>
      <c r="AE22" s="409" t="str">
        <v>FY22 inter</v>
      </c>
      <c r="AF22" s="409" t="str">
        <v>FY23 intra</v>
      </c>
      <c r="AG22" s="435" t="str">
        <v>D. Gibson</v>
      </c>
      <c r="AH22" s="435">
        <v>44477</v>
      </c>
      <c r="AI22" s="435" t="str">
        <v>I. McEwen</v>
      </c>
      <c r="AJ22" s="435">
        <v>44477</v>
      </c>
      <c r="AK22" s="409" t="str">
        <v>For air shipment container contents will need to be unloaded and palletized</v>
      </c>
      <c r="AL22" s="9" t="str">
        <v/>
      </c>
    </row>
    <row r="23" spans="1:40" ht="5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399" t="str">
        <v>in transit</v>
      </c>
      <c r="P23" s="429">
        <v>44502</v>
      </c>
      <c r="Q23" s="429" t="str">
        <v>UWM - PTH</v>
      </c>
      <c r="R23" s="429">
        <v>44515</v>
      </c>
      <c r="S23" s="430" t="str">
        <v xml:space="preserve"> Truck</v>
      </c>
      <c r="T23" s="440" t="str">
        <v>PTH - MCM</v>
      </c>
      <c r="U23" s="431" t="str">
        <v>-</v>
      </c>
      <c r="V23" s="432" t="str">
        <v>USAP Vessel</v>
      </c>
      <c r="W23" s="433" t="str">
        <v>USAP Vessel</v>
      </c>
      <c r="X23" s="433" t="str">
        <v>-</v>
      </c>
      <c r="Y23" s="100" t="str">
        <v>-</v>
      </c>
      <c r="Z23" s="426">
        <v>44598</v>
      </c>
      <c r="AA23" s="409" t="str">
        <v>-</v>
      </c>
      <c r="AB23" s="435" t="str">
        <v>LC-130/SPoT</v>
      </c>
      <c r="AC23" s="435">
        <v>44910</v>
      </c>
      <c r="AD23" s="409" t="str">
        <v>Yes*</v>
      </c>
      <c r="AE23" s="409" t="str">
        <v>FY22 inter</v>
      </c>
      <c r="AF23" s="61" t="str">
        <v>FY23 intra</v>
      </c>
      <c r="AG23" s="435" t="str">
        <v>D. Gibson</v>
      </c>
      <c r="AH23" s="204">
        <v>44477</v>
      </c>
      <c r="AI23" s="204" t="str">
        <v>I. McEwen</v>
      </c>
      <c r="AJ23" s="435">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ht="33.950000000000003">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56" t="str">
        <v>in transit</v>
      </c>
      <c r="P24" s="429">
        <v>44495</v>
      </c>
      <c r="Q24" s="429" t="str">
        <v>UWM - PTH</v>
      </c>
      <c r="R24" s="429">
        <v>44515</v>
      </c>
      <c r="S24" s="430" t="str">
        <v xml:space="preserve"> Truck</v>
      </c>
      <c r="T24" s="440" t="str">
        <v>PTH - MCM</v>
      </c>
      <c r="U24" s="47" t="str">
        <v>-</v>
      </c>
      <c r="V24" s="432" t="str">
        <v>USAP Vessel</v>
      </c>
      <c r="W24" s="433" t="str">
        <v>USAP Vessel</v>
      </c>
      <c r="X24" s="433" t="str">
        <v>-</v>
      </c>
      <c r="Y24" s="100" t="str">
        <v>-</v>
      </c>
      <c r="Z24" s="426">
        <v>44598</v>
      </c>
      <c r="AA24" s="409" t="str">
        <v>-</v>
      </c>
      <c r="AB24" s="435" t="str">
        <v>LC-130/SPoT</v>
      </c>
      <c r="AC24" s="435">
        <v>44927</v>
      </c>
      <c r="AD24" s="409" t="str">
        <v>Yes</v>
      </c>
      <c r="AE24" s="409" t="str">
        <v>FY22 inter</v>
      </c>
      <c r="AF24" s="61" t="str">
        <v>FY23 intra</v>
      </c>
      <c r="AG24" s="435" t="str">
        <v>D. Gibson</v>
      </c>
      <c r="AH24" s="204">
        <v>44477</v>
      </c>
      <c r="AI24" s="204" t="str">
        <v>I. McEwen</v>
      </c>
      <c r="AJ24" s="435">
        <v>44477</v>
      </c>
      <c r="AK24" s="61" t="str">
        <v>Weight from Gen 1 shipment information see picture.</v>
      </c>
      <c r="AL24" s="9" t="str">
        <v/>
      </c>
    </row>
    <row r="25" spans="1:40" ht="33.950000000000003">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56">
        <v>7</v>
      </c>
      <c r="P25" s="429">
        <v>44508</v>
      </c>
      <c r="Q25" s="429" t="str">
        <v>UWM - PTH</v>
      </c>
      <c r="R25" s="429">
        <v>44515</v>
      </c>
      <c r="S25" s="430" t="str">
        <v xml:space="preserve"> Truck</v>
      </c>
      <c r="T25" s="440" t="str">
        <v>PTH - MCM</v>
      </c>
      <c r="U25" s="47" t="str">
        <v>-</v>
      </c>
      <c r="V25" s="432" t="str">
        <v>USAP Vessel</v>
      </c>
      <c r="W25" s="433" t="str">
        <v>USAP Vessel</v>
      </c>
      <c r="X25" s="433" t="str">
        <v>-</v>
      </c>
      <c r="Y25" s="100" t="str">
        <v>-</v>
      </c>
      <c r="Z25" s="426">
        <v>44598</v>
      </c>
      <c r="AA25" s="409" t="str">
        <v>-</v>
      </c>
      <c r="AB25" s="435" t="str">
        <v>LC-130/SPoT</v>
      </c>
      <c r="AC25" s="435">
        <v>44927</v>
      </c>
      <c r="AD25" s="409" t="str">
        <v>Yes</v>
      </c>
      <c r="AE25" s="409" t="str">
        <v>FY22 inter</v>
      </c>
      <c r="AF25" s="61" t="str">
        <v>FY23 intra</v>
      </c>
      <c r="AG25" s="435" t="str">
        <v>D. Gibson</v>
      </c>
      <c r="AH25" s="204">
        <v>44477</v>
      </c>
      <c r="AI25" s="204" t="str">
        <v>I. McEwen</v>
      </c>
      <c r="AJ25" s="435">
        <v>44477</v>
      </c>
      <c r="AK25" s="61" t="str">
        <v xml:space="preserve">Required onsite in FS Y1 for final integration and pre-drill activities. Shrink wrap contractor rescheduled for later date. </v>
      </c>
      <c r="AL25" s="9" t="str">
        <v/>
      </c>
    </row>
    <row r="26" spans="1:40" s="13" customFormat="1" ht="68.099999999999994">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56">
        <v>381</v>
      </c>
      <c r="P26" s="429">
        <v>44301</v>
      </c>
      <c r="Q26" s="429" t="str">
        <v>UWM - PTH</v>
      </c>
      <c r="R26" s="429">
        <v>44682</v>
      </c>
      <c r="S26" s="430" t="str">
        <v>Truck</v>
      </c>
      <c r="T26" s="431" t="str">
        <v>PTH - CHC</v>
      </c>
      <c r="U26" s="431" t="str">
        <v>-</v>
      </c>
      <c r="V26" s="432" t="str">
        <v>ComSur</v>
      </c>
      <c r="W26" s="433" t="str">
        <v>CHC-MCM</v>
      </c>
      <c r="X26" s="433" t="str">
        <v>-</v>
      </c>
      <c r="Y26" s="426" t="str">
        <v>USAP Air</v>
      </c>
      <c r="Z26" s="426">
        <v>44866</v>
      </c>
      <c r="AA26" s="434" t="str">
        <v>-</v>
      </c>
      <c r="AB26" s="426" t="str">
        <v>LC-130</v>
      </c>
      <c r="AC26" s="426">
        <v>44896</v>
      </c>
      <c r="AD26" s="409" t="str">
        <v>Yes</v>
      </c>
      <c r="AE26" s="409" t="str">
        <v>FY23 inter</v>
      </c>
      <c r="AF26" s="65" t="str">
        <v>FY23 intra</v>
      </c>
      <c r="AG26" s="426" t="str">
        <v>D. Gibson</v>
      </c>
      <c r="AH26" s="205">
        <v>44477</v>
      </c>
      <c r="AI26" s="205" t="str">
        <v>I. McEwen</v>
      </c>
      <c r="AJ26" s="426">
        <v>44477</v>
      </c>
      <c r="AK26" s="65" t="str">
        <v>Weight estimated</v>
      </c>
      <c r="AL26" s="13" t="str">
        <v/>
      </c>
    </row>
    <row r="27" spans="1:40" ht="33.950000000000003" hidden="1">
      <c r="A27" s="35">
        <v>1.4</v>
      </c>
      <c r="B27" s="51" t="str">
        <v>Installation</v>
      </c>
      <c r="C27" s="21" t="str">
        <v>ICL power and timing electronics</v>
      </c>
      <c r="D27" s="20" t="str">
        <v>1 crate containing rackmount electronics for power and timing systems - Do Not Freeze</v>
      </c>
      <c r="E27" s="36">
        <v>96</v>
      </c>
      <c r="F27" s="36">
        <v>48</v>
      </c>
      <c r="G27" s="36">
        <v>48</v>
      </c>
      <c r="H27" s="23">
        <v>1</v>
      </c>
      <c r="I27" s="22">
        <v>128</v>
      </c>
      <c r="J27" s="22">
        <v>600</v>
      </c>
      <c r="K27" s="4">
        <v>600</v>
      </c>
      <c r="L27" s="36" t="str">
        <v>estimated</v>
      </c>
      <c r="M27" s="8" t="str">
        <v>DNF</v>
      </c>
      <c r="N27" s="427" t="str">
        <v xml:space="preserve"> U. Wisc. Madison</v>
      </c>
      <c r="O27" s="435">
        <v>31</v>
      </c>
      <c r="P27" s="428">
        <v>45108</v>
      </c>
      <c r="Q27" s="429" t="str">
        <v>UWM - PTH</v>
      </c>
      <c r="R27" s="428">
        <v>45139</v>
      </c>
      <c r="S27" s="430" t="str">
        <v>Truck</v>
      </c>
      <c r="T27" s="431" t="str">
        <v>PTH - CHC</v>
      </c>
      <c r="U27" s="431" t="str">
        <v>-</v>
      </c>
      <c r="V27" s="432" t="str">
        <v>ComSur</v>
      </c>
      <c r="W27" s="433" t="str">
        <v>CHC-MCM</v>
      </c>
      <c r="X27" s="433" t="str">
        <v>-</v>
      </c>
      <c r="Y27" s="435" t="str">
        <v>USAP Air</v>
      </c>
      <c r="Z27" s="434">
        <v>45231</v>
      </c>
      <c r="AA27" s="409" t="str">
        <v>-</v>
      </c>
      <c r="AB27" s="435" t="str">
        <v>LC-130</v>
      </c>
      <c r="AC27" s="409">
        <v>45261</v>
      </c>
      <c r="AD27" s="409" t="str">
        <v>Yes</v>
      </c>
      <c r="AE27" s="409" t="str">
        <v>FY24 inter</v>
      </c>
      <c r="AF27" s="409" t="str">
        <v>FY24 intra</v>
      </c>
      <c r="AG27" s="409" t="str">
        <v>J. Kelley</v>
      </c>
      <c r="AH27" s="409">
        <v>44481</v>
      </c>
      <c r="AI27" s="409" t="str">
        <v>D. Tosi</v>
      </c>
      <c r="AJ27" s="409">
        <v>44481</v>
      </c>
      <c r="AK27" s="409" t="str">
        <v/>
      </c>
      <c r="AL27" s="9" t="str">
        <v/>
      </c>
    </row>
    <row r="28" spans="1:40" ht="33.75" hidden="1" customHeight="1">
      <c r="A28" s="35">
        <v>1.4</v>
      </c>
      <c r="B28" s="51" t="str">
        <v>Installation</v>
      </c>
      <c r="C28" s="21" t="str">
        <v>ICL patch cables and patch panels</v>
      </c>
      <c r="D28" s="1" t="str">
        <v>Standard vessel shipping - can overwinter in McM if shipped earlier - Do Not  Deep Freeze</v>
      </c>
      <c r="E28" s="36">
        <v>96</v>
      </c>
      <c r="F28" s="36">
        <v>48</v>
      </c>
      <c r="G28" s="36">
        <v>48</v>
      </c>
      <c r="H28" s="23">
        <v>1</v>
      </c>
      <c r="I28" s="22">
        <v>128</v>
      </c>
      <c r="J28" s="22">
        <v>1200</v>
      </c>
      <c r="K28" s="4">
        <v>1200</v>
      </c>
      <c r="L28" s="36" t="str">
        <v>estimated</v>
      </c>
      <c r="M28" s="8" t="str">
        <v>DNDF [TBD]</v>
      </c>
      <c r="N28" s="427" t="str">
        <v xml:space="preserve"> U. Wisc. Madison</v>
      </c>
      <c r="O28" s="435">
        <v>61</v>
      </c>
      <c r="P28" s="428">
        <v>45078</v>
      </c>
      <c r="Q28" s="429" t="str">
        <v>UWM - PTH</v>
      </c>
      <c r="R28" s="428">
        <v>45139</v>
      </c>
      <c r="S28" s="430" t="str">
        <v>Truck</v>
      </c>
      <c r="T28" s="431" t="str">
        <v>PTH - CHC</v>
      </c>
      <c r="U28" s="431" t="str">
        <v>-</v>
      </c>
      <c r="V28" s="432" t="str">
        <v>ComSur</v>
      </c>
      <c r="W28" s="433" t="str">
        <v>CHC-MCM</v>
      </c>
      <c r="X28" s="433" t="str">
        <v>-</v>
      </c>
      <c r="Y28" s="435" t="str">
        <v>USAP Air</v>
      </c>
      <c r="Z28" s="434">
        <v>45231</v>
      </c>
      <c r="AA28" s="427" t="str">
        <v>-</v>
      </c>
      <c r="AB28" s="435" t="str">
        <v>LC-130</v>
      </c>
      <c r="AC28" s="409">
        <v>45261</v>
      </c>
      <c r="AD28" s="409" t="str">
        <v>Yes</v>
      </c>
      <c r="AE28" s="409" t="str">
        <v>FY24 inter</v>
      </c>
      <c r="AF28" s="409" t="str">
        <v>FY24 intra</v>
      </c>
      <c r="AG28" s="409" t="str">
        <v>J. Kelley</v>
      </c>
      <c r="AH28" s="409">
        <v>44481</v>
      </c>
      <c r="AI28" s="409" t="str">
        <v>D. Tosi</v>
      </c>
      <c r="AJ28" s="409">
        <v>44481</v>
      </c>
      <c r="AK28" s="409" t="str">
        <v xml:space="preserve">(*) storage in McMurdo pending low temperature test </v>
      </c>
      <c r="AL28" s="9" t="str">
        <v/>
      </c>
    </row>
    <row r="29" spans="1:40" s="27" customFormat="1" ht="33.950000000000003">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5">
        <v>381</v>
      </c>
      <c r="P29" s="95">
        <v>44301</v>
      </c>
      <c r="Q29" s="95" t="str">
        <v>UWM - PTH</v>
      </c>
      <c r="R29" s="95">
        <v>44682</v>
      </c>
      <c r="S29" s="430" t="str">
        <v xml:space="preserve"> Truck</v>
      </c>
      <c r="T29" s="97" t="str">
        <v>PTH - CHC</v>
      </c>
      <c r="U29" s="431" t="str">
        <v>-</v>
      </c>
      <c r="V29" s="432" t="str">
        <v>ComSur</v>
      </c>
      <c r="W29" s="79" t="str">
        <v>CHC-MCM</v>
      </c>
      <c r="X29" s="433" t="str">
        <v>-</v>
      </c>
      <c r="Y29" s="426" t="str">
        <v>USAP Air</v>
      </c>
      <c r="Z29" s="78">
        <v>44866</v>
      </c>
      <c r="AA29" s="10" t="str">
        <v>-</v>
      </c>
      <c r="AB29" s="78" t="str">
        <v xml:space="preserve">LC-130 </v>
      </c>
      <c r="AC29" s="78">
        <v>44896</v>
      </c>
      <c r="AD29" s="409" t="str">
        <v>Yes</v>
      </c>
      <c r="AE29" s="409" t="str">
        <v>FY23 inter</v>
      </c>
      <c r="AF29" s="409" t="str">
        <v>FY23 intra</v>
      </c>
      <c r="AG29" s="78" t="str">
        <v>D. Gibson</v>
      </c>
      <c r="AH29" s="206">
        <v>44477</v>
      </c>
      <c r="AI29" s="206" t="str">
        <v>I. McEwen</v>
      </c>
      <c r="AJ29" s="206">
        <v>44477</v>
      </c>
      <c r="AK29" s="66" t="str">
        <v/>
      </c>
      <c r="AL29" s="27" t="str">
        <v/>
      </c>
    </row>
    <row r="30" spans="1:40" s="27" customFormat="1" ht="33.950000000000003">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5">
        <v>381</v>
      </c>
      <c r="P30" s="95">
        <v>44301</v>
      </c>
      <c r="Q30" s="95" t="str">
        <v>UWM - PTH</v>
      </c>
      <c r="R30" s="95">
        <v>44682</v>
      </c>
      <c r="S30" s="430" t="str">
        <v xml:space="preserve"> Truck</v>
      </c>
      <c r="T30" s="97" t="str">
        <v>PTH - CHC</v>
      </c>
      <c r="U30" s="431" t="str">
        <v>-</v>
      </c>
      <c r="V30" s="432" t="str">
        <v>ComSur</v>
      </c>
      <c r="W30" s="79" t="str">
        <v>CHC-MCM</v>
      </c>
      <c r="X30" s="433" t="str">
        <v>-</v>
      </c>
      <c r="Y30" s="426" t="str">
        <v>USAP Air</v>
      </c>
      <c r="Z30" s="78">
        <v>44866</v>
      </c>
      <c r="AA30" s="26" t="str">
        <v>-</v>
      </c>
      <c r="AB30" s="78" t="str">
        <v>LC-130/SPoT</v>
      </c>
      <c r="AC30" s="78">
        <v>44896</v>
      </c>
      <c r="AD30" s="409" t="str">
        <v>Yes</v>
      </c>
      <c r="AE30" s="409" t="str">
        <v>FY23 inter</v>
      </c>
      <c r="AF30" s="409" t="str">
        <v>FY23 intra</v>
      </c>
      <c r="AG30" s="78" t="str">
        <v>D. Gibson</v>
      </c>
      <c r="AH30" s="206">
        <v>44477</v>
      </c>
      <c r="AI30" s="206" t="str">
        <v>I. McEwen</v>
      </c>
      <c r="AJ30" s="206">
        <v>44477</v>
      </c>
      <c r="AK30" s="66" t="str">
        <v/>
      </c>
      <c r="AL30" s="27" t="str">
        <v/>
      </c>
    </row>
    <row r="31" spans="1:40" ht="41.1" hidden="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35">
        <v>157</v>
      </c>
      <c r="P31" s="428">
        <v>44358</v>
      </c>
      <c r="Q31" s="95" t="str">
        <v>UWM - PTH</v>
      </c>
      <c r="R31" s="428">
        <v>44515</v>
      </c>
      <c r="S31" s="430" t="str">
        <v>Truck</v>
      </c>
      <c r="T31" s="12" t="str">
        <v>PTH - MCM</v>
      </c>
      <c r="U31" s="431" t="str">
        <v>-</v>
      </c>
      <c r="V31" s="39" t="str">
        <v>USAP Vessel</v>
      </c>
      <c r="W31" s="433" t="str">
        <v>USAP Vessel</v>
      </c>
      <c r="X31" s="433" t="str">
        <v>-</v>
      </c>
      <c r="Y31" s="100" t="str">
        <v>-</v>
      </c>
      <c r="Z31" s="434">
        <v>44598</v>
      </c>
      <c r="AA31" s="409" t="str">
        <v>-</v>
      </c>
      <c r="AB31" s="435" t="str">
        <v>LC-130/SPoT</v>
      </c>
      <c r="AC31" s="409">
        <v>45261</v>
      </c>
      <c r="AD31" s="409" t="str">
        <v>Yes</v>
      </c>
      <c r="AE31" s="409" t="str">
        <v>FY22 inter</v>
      </c>
      <c r="AF31" s="409" t="str">
        <v>FY24 intra</v>
      </c>
      <c r="AG31" s="409" t="str">
        <v>D. Gibson</v>
      </c>
      <c r="AH31" s="409">
        <v>44477</v>
      </c>
      <c r="AI31" s="409" t="str">
        <v>I. McEwen</v>
      </c>
      <c r="AJ31" s="409">
        <v>44477</v>
      </c>
      <c r="AK31" s="409" t="str">
        <v/>
      </c>
      <c r="AL31" s="9" t="str">
        <v/>
      </c>
    </row>
    <row r="32" spans="1:40" ht="33.950000000000003" hidden="1">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35">
        <v>349</v>
      </c>
      <c r="P32" s="443">
        <v>44531</v>
      </c>
      <c r="Q32" s="429" t="str">
        <v>UWM - PTH</v>
      </c>
      <c r="R32" s="428">
        <v>44880</v>
      </c>
      <c r="S32" s="430" t="str">
        <v>Truck</v>
      </c>
      <c r="T32" s="431" t="str">
        <v>PTH - MCM</v>
      </c>
      <c r="U32" s="431" t="str">
        <v>-</v>
      </c>
      <c r="V32" s="432" t="str">
        <v>USAP Vessel</v>
      </c>
      <c r="W32" s="433" t="str">
        <v>USAP Vessel</v>
      </c>
      <c r="X32" s="433" t="str">
        <v>-</v>
      </c>
      <c r="Y32" s="435" t="str">
        <v>-</v>
      </c>
      <c r="Z32" s="434">
        <v>44963</v>
      </c>
      <c r="AA32" s="409" t="str">
        <v>-</v>
      </c>
      <c r="AB32" s="435" t="str">
        <v>LC-130/SPoT</v>
      </c>
      <c r="AC32" s="409">
        <v>45323</v>
      </c>
      <c r="AD32" s="409" t="str">
        <v>No</v>
      </c>
      <c r="AE32" s="409" t="str">
        <v>FY23 inter</v>
      </c>
      <c r="AF32" s="409" t="str">
        <v>FY24 intra</v>
      </c>
      <c r="AG32" s="409" t="str">
        <v>D. Gibson</v>
      </c>
      <c r="AH32" s="409">
        <v>44477</v>
      </c>
      <c r="AI32" s="409" t="str">
        <v>I. McEwen</v>
      </c>
      <c r="AJ32" s="409">
        <v>44477</v>
      </c>
      <c r="AK32" s="409" t="str">
        <v>Weight and cube used from Gen 1 shipping label still on bull wheel.</v>
      </c>
      <c r="AL32" s="9" t="str">
        <v/>
      </c>
    </row>
    <row r="33" spans="1:38" ht="33.950000000000003" hidden="1">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35">
        <v>31</v>
      </c>
      <c r="P33" s="443">
        <v>44849</v>
      </c>
      <c r="Q33" s="429" t="str">
        <v>UWM - PTH</v>
      </c>
      <c r="R33" s="428">
        <v>44880</v>
      </c>
      <c r="S33" s="430" t="str">
        <v>Truck</v>
      </c>
      <c r="T33" s="431" t="str">
        <v>PTH - MCM</v>
      </c>
      <c r="U33" s="431" t="str">
        <v>-</v>
      </c>
      <c r="V33" s="432" t="str">
        <v>USAP Vessel</v>
      </c>
      <c r="W33" s="433" t="str">
        <v>USAP Vessel</v>
      </c>
      <c r="X33" s="433" t="str">
        <v>-</v>
      </c>
      <c r="Y33" s="435" t="str">
        <v>-</v>
      </c>
      <c r="Z33" s="434">
        <v>44963</v>
      </c>
      <c r="AA33" s="409" t="str">
        <v>-</v>
      </c>
      <c r="AB33" s="435" t="str">
        <v>LC-130/SPoT</v>
      </c>
      <c r="AC33" s="409">
        <v>45275</v>
      </c>
      <c r="AD33" s="409" t="str">
        <v>Yes</v>
      </c>
      <c r="AE33" s="409" t="str">
        <v>FY23 inter</v>
      </c>
      <c r="AF33" s="409" t="str">
        <v>FY24 intra</v>
      </c>
      <c r="AG33" s="409" t="str">
        <v>D. Gibson</v>
      </c>
      <c r="AH33" s="409">
        <v>44477</v>
      </c>
      <c r="AI33" s="409" t="str">
        <v>I. McEwen</v>
      </c>
      <c r="AJ33" s="409">
        <v>44477</v>
      </c>
      <c r="AK33" s="409" t="str">
        <v>Required onsite in FW YR 2 for integration - recent addition, still in development</v>
      </c>
      <c r="AL33" s="9" t="str">
        <v/>
      </c>
    </row>
    <row r="34" spans="1:38" ht="61.5" hidden="1"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35">
        <v>117</v>
      </c>
      <c r="P34" s="443">
        <v>44763</v>
      </c>
      <c r="Q34" s="429" t="str">
        <v>UWM - PTH</v>
      </c>
      <c r="R34" s="428">
        <v>44880</v>
      </c>
      <c r="S34" s="431" t="str">
        <v>Truck</v>
      </c>
      <c r="T34" s="431" t="str">
        <v>PTH - MCM</v>
      </c>
      <c r="U34" s="431" t="str">
        <v>-</v>
      </c>
      <c r="V34" s="433" t="str">
        <v>USAP Vessel</v>
      </c>
      <c r="W34" s="433" t="str">
        <v>USAP Vessel</v>
      </c>
      <c r="X34" s="433" t="str">
        <v>-</v>
      </c>
      <c r="Y34" s="426" t="str">
        <v>-</v>
      </c>
      <c r="Z34" s="434">
        <v>44963</v>
      </c>
      <c r="AA34" s="409" t="str">
        <v>-</v>
      </c>
      <c r="AB34" s="435" t="str">
        <v>LC-130/SPoT</v>
      </c>
      <c r="AC34" s="409">
        <v>45261</v>
      </c>
      <c r="AD34" s="409" t="str">
        <v>Yes</v>
      </c>
      <c r="AE34" s="409" t="str">
        <v>FY23 inter</v>
      </c>
      <c r="AF34" s="61" t="str">
        <v>FY24 intra</v>
      </c>
      <c r="AG34" s="409" t="str">
        <v>D. Gibson</v>
      </c>
      <c r="AH34" s="61">
        <v>44477</v>
      </c>
      <c r="AI34" s="61" t="str">
        <v>I. McEwen</v>
      </c>
      <c r="AJ34" s="409">
        <v>44477</v>
      </c>
      <c r="AK34" s="61" t="str">
        <v>Sensor Handling Facility construction scheduled to begin mid-December FY24</v>
      </c>
      <c r="AL34" s="9" t="str">
        <v/>
      </c>
    </row>
    <row r="35" spans="1:38" ht="23.25" hidden="1" customHeight="1">
      <c r="A35" s="25">
        <v>1.2</v>
      </c>
      <c r="B35" s="48" t="str">
        <v>Drill</v>
      </c>
      <c r="C35" s="1" t="str">
        <v xml:space="preserve">Spare Combo cable </v>
      </c>
      <c r="D35" s="3" t="str">
        <v>Spare cable for Return Water Cable Reel - on spool</v>
      </c>
      <c r="E35" s="23">
        <v>72</v>
      </c>
      <c r="F35" s="23">
        <v>72</v>
      </c>
      <c r="G35" s="23">
        <v>72</v>
      </c>
      <c r="H35" s="23">
        <v>1</v>
      </c>
      <c r="I35" s="22">
        <v>216</v>
      </c>
      <c r="J35" s="22">
        <v>3000</v>
      </c>
      <c r="K35" s="4">
        <v>3000</v>
      </c>
      <c r="L35" s="23" t="str">
        <v>actual</v>
      </c>
      <c r="M35" s="6" t="str">
        <v/>
      </c>
      <c r="N35" s="427" t="str">
        <v xml:space="preserve"> U. Wisc. Madison</v>
      </c>
      <c r="O35" s="435">
        <v>31</v>
      </c>
      <c r="P35" s="428">
        <v>44849</v>
      </c>
      <c r="Q35" s="429" t="str">
        <v>UWM - PTH</v>
      </c>
      <c r="R35" s="428">
        <v>44880</v>
      </c>
      <c r="S35" s="431" t="str">
        <v>Truck</v>
      </c>
      <c r="T35" s="431" t="str">
        <v>PTH - MCM</v>
      </c>
      <c r="U35" s="431" t="str">
        <v>-</v>
      </c>
      <c r="V35" s="433" t="str">
        <v>USAP Vessel</v>
      </c>
      <c r="W35" s="433" t="str">
        <v>USAP Vessel</v>
      </c>
      <c r="X35" s="433" t="str">
        <v>-</v>
      </c>
      <c r="Y35" s="426" t="str">
        <v>-</v>
      </c>
      <c r="Z35" s="434">
        <v>45328</v>
      </c>
      <c r="AA35" s="409" t="str">
        <v>-</v>
      </c>
      <c r="AB35" s="435" t="str">
        <v>LC-130/SPoT</v>
      </c>
      <c r="AC35" s="409">
        <v>45334</v>
      </c>
      <c r="AD35" s="409" t="str">
        <v>No</v>
      </c>
      <c r="AE35" s="409" t="str">
        <v>FY24 inter</v>
      </c>
      <c r="AF35" s="409" t="str">
        <v>FY24 intra</v>
      </c>
      <c r="AG35" s="409" t="str">
        <v>D. Gibson</v>
      </c>
      <c r="AH35" s="409">
        <v>44477</v>
      </c>
      <c r="AI35" s="409" t="str">
        <v>I. McEwen</v>
      </c>
      <c r="AJ35" s="409">
        <v>44477</v>
      </c>
      <c r="AK35" s="409" t="str">
        <v>Spare required for drill season</v>
      </c>
      <c r="AL35" s="9" t="str">
        <v/>
      </c>
    </row>
    <row r="36" spans="1:38" ht="26.45" hidden="1" customHeight="1">
      <c r="A36" s="25">
        <v>1.2</v>
      </c>
      <c r="B36" s="49" t="str">
        <v>Drill</v>
      </c>
      <c r="C36" s="3" t="str">
        <v>Spare Drill Cable</v>
      </c>
      <c r="D36" s="3" t="str">
        <v>Standard vessel shipping - can overwinter in McM. Cable on steel spool.</v>
      </c>
      <c r="E36" s="23">
        <v>83</v>
      </c>
      <c r="F36" s="23">
        <v>83</v>
      </c>
      <c r="G36" s="23">
        <v>61</v>
      </c>
      <c r="H36" s="23">
        <v>1</v>
      </c>
      <c r="I36" s="22">
        <v>243.1880787037037</v>
      </c>
      <c r="J36" s="22">
        <v>6835</v>
      </c>
      <c r="K36" s="4">
        <v>6835</v>
      </c>
      <c r="L36" s="23" t="str">
        <v>actual</v>
      </c>
      <c r="M36" s="6" t="str">
        <v/>
      </c>
      <c r="N36" s="427" t="str">
        <v xml:space="preserve"> U. Wisc. Madison</v>
      </c>
      <c r="O36" s="435">
        <v>31</v>
      </c>
      <c r="P36" s="428">
        <v>44849</v>
      </c>
      <c r="Q36" s="429" t="str">
        <v>UWM - PTH</v>
      </c>
      <c r="R36" s="428">
        <v>44880</v>
      </c>
      <c r="S36" s="431" t="str">
        <v>Truck</v>
      </c>
      <c r="T36" s="431" t="str">
        <v>PTH - MCM</v>
      </c>
      <c r="U36" s="431" t="str">
        <v>-</v>
      </c>
      <c r="V36" s="433" t="str">
        <v>USAP Vessel</v>
      </c>
      <c r="W36" s="433" t="str">
        <v>USAP Vessel</v>
      </c>
      <c r="X36" s="433" t="str">
        <v>-</v>
      </c>
      <c r="Y36" s="426" t="str">
        <v>-</v>
      </c>
      <c r="Z36" s="434">
        <v>45328</v>
      </c>
      <c r="AA36" s="409" t="str">
        <v>-</v>
      </c>
      <c r="AB36" s="435" t="str">
        <v>LC-130/SPoT</v>
      </c>
      <c r="AC36" s="409">
        <v>45334</v>
      </c>
      <c r="AD36" s="409" t="str">
        <v>No</v>
      </c>
      <c r="AE36" s="409" t="str">
        <v>FY24 inter</v>
      </c>
      <c r="AF36" s="409" t="str">
        <v>FY24 intra</v>
      </c>
      <c r="AG36" s="409" t="str">
        <v>D. Gibson</v>
      </c>
      <c r="AH36" s="409">
        <v>44477</v>
      </c>
      <c r="AI36" s="409" t="str">
        <v>I. McEwen</v>
      </c>
      <c r="AJ36" s="409">
        <v>44477</v>
      </c>
      <c r="AK36" s="409" t="str">
        <v>Spare required for drill season</v>
      </c>
      <c r="AL36" s="9" t="str">
        <v/>
      </c>
    </row>
    <row r="37" spans="1:38" ht="33.950000000000003" hidden="1">
      <c r="A37" s="25">
        <v>1.2</v>
      </c>
      <c r="B37" s="48" t="str">
        <v>Drill</v>
      </c>
      <c r="C37" s="3" t="str">
        <v>Computing/controls components</v>
      </c>
      <c r="D37" s="3" t="str">
        <v>Computing and controls equipment (Motor drives and other sensitive electronics) - Do Not Freeze</v>
      </c>
      <c r="E37" s="4">
        <v>96</v>
      </c>
      <c r="F37" s="4">
        <v>48</v>
      </c>
      <c r="G37" s="4">
        <v>48</v>
      </c>
      <c r="H37" s="23">
        <v>1</v>
      </c>
      <c r="I37" s="22">
        <v>128</v>
      </c>
      <c r="J37" s="22">
        <v>3000</v>
      </c>
      <c r="K37" s="4">
        <v>3000</v>
      </c>
      <c r="L37" s="23" t="str">
        <v>estimated</v>
      </c>
      <c r="M37" s="6" t="str">
        <v>DNF</v>
      </c>
      <c r="N37" s="427" t="str">
        <v xml:space="preserve"> U. Wisc. Madison</v>
      </c>
      <c r="O37" s="435">
        <v>31</v>
      </c>
      <c r="P37" s="443">
        <v>45108</v>
      </c>
      <c r="Q37" s="429" t="str">
        <v>UWM - PTH</v>
      </c>
      <c r="R37" s="428">
        <v>45139</v>
      </c>
      <c r="S37" s="430" t="str">
        <v>Truck</v>
      </c>
      <c r="T37" s="431" t="str">
        <v>PTH - CHC</v>
      </c>
      <c r="U37" s="431" t="str">
        <v>-</v>
      </c>
      <c r="V37" s="432" t="str">
        <v>ComSur</v>
      </c>
      <c r="W37" s="433" t="str">
        <v>CHC-MCM</v>
      </c>
      <c r="X37" s="433" t="str">
        <v>-</v>
      </c>
      <c r="Y37" s="435" t="str">
        <v>USAP Air</v>
      </c>
      <c r="Z37" s="434">
        <v>45231</v>
      </c>
      <c r="AA37" s="409" t="str">
        <v>-</v>
      </c>
      <c r="AB37" s="435" t="str">
        <v>LC-130</v>
      </c>
      <c r="AC37" s="409">
        <v>45245</v>
      </c>
      <c r="AD37" s="409" t="str">
        <v>Yes</v>
      </c>
      <c r="AE37" s="409" t="str">
        <v>FY24 inter</v>
      </c>
      <c r="AF37" s="409" t="str">
        <v>FY24 intra</v>
      </c>
      <c r="AG37" s="409" t="str">
        <v>D. Gibson</v>
      </c>
      <c r="AH37" s="409">
        <v>44477</v>
      </c>
      <c r="AI37" s="409" t="str">
        <v>I. McEwen</v>
      </c>
      <c r="AJ37" s="409">
        <v>44477</v>
      </c>
      <c r="AK37" s="409" t="str">
        <v>Required onsite in FW YR 2 to support controls system tasking</v>
      </c>
      <c r="AL37" s="9" t="str">
        <v/>
      </c>
    </row>
    <row r="38" spans="1:38" ht="33.950000000000003" hidden="1">
      <c r="A38" s="25">
        <v>1.2</v>
      </c>
      <c r="B38" s="48" t="str">
        <v>Drill</v>
      </c>
      <c r="C38" s="3" t="str">
        <v>Driller resupply/refit components -  8'  Container</v>
      </c>
      <c r="D38" s="3" t="str">
        <v>8' Mini Milvan; Consumables/drill components</v>
      </c>
      <c r="E38" s="4">
        <v>96</v>
      </c>
      <c r="F38" s="4">
        <v>86</v>
      </c>
      <c r="G38" s="4">
        <v>96</v>
      </c>
      <c r="H38" s="23">
        <v>1</v>
      </c>
      <c r="I38" s="22">
        <v>458.66666666666669</v>
      </c>
      <c r="J38" s="22">
        <v>6500</v>
      </c>
      <c r="K38" s="4">
        <v>6500</v>
      </c>
      <c r="L38" s="23" t="str">
        <v>estimated</v>
      </c>
      <c r="M38" s="6" t="str">
        <v/>
      </c>
      <c r="N38" s="427" t="str">
        <v xml:space="preserve"> U. Wisc. Madison</v>
      </c>
      <c r="O38" s="435">
        <v>31</v>
      </c>
      <c r="P38" s="443">
        <v>45108</v>
      </c>
      <c r="Q38" s="429" t="str">
        <v>UWM - PTH</v>
      </c>
      <c r="R38" s="428">
        <v>45139</v>
      </c>
      <c r="S38" s="430" t="str">
        <v>Truck</v>
      </c>
      <c r="T38" s="431" t="str">
        <v>PTH - CHC</v>
      </c>
      <c r="U38" s="431" t="str">
        <v>-</v>
      </c>
      <c r="V38" s="432" t="str">
        <v>ComSur</v>
      </c>
      <c r="W38" s="433" t="str">
        <v>CHC-MCM</v>
      </c>
      <c r="X38" s="433" t="str">
        <v>-</v>
      </c>
      <c r="Y38" s="435" t="str">
        <v>USAP Air</v>
      </c>
      <c r="Z38" s="434">
        <v>45231</v>
      </c>
      <c r="AA38" s="409" t="str">
        <v>-</v>
      </c>
      <c r="AB38" s="435" t="str">
        <v>LC-130</v>
      </c>
      <c r="AC38" s="409">
        <v>45245</v>
      </c>
      <c r="AD38" s="409" t="str">
        <v>Yes</v>
      </c>
      <c r="AE38" s="409" t="str">
        <v>FY24 inter</v>
      </c>
      <c r="AF38" s="409" t="str">
        <v>FY24 intra</v>
      </c>
      <c r="AG38" s="409" t="str">
        <v>D. Gibson</v>
      </c>
      <c r="AH38" s="409">
        <v>44477</v>
      </c>
      <c r="AI38" s="409" t="str">
        <v>I. McEwen</v>
      </c>
      <c r="AJ38" s="409">
        <v>44477</v>
      </c>
      <c r="AK38" s="409" t="str">
        <v>Items identifed in prior field season - 8' container moves with contents overland or by air</v>
      </c>
      <c r="AL38" s="9" t="str">
        <v/>
      </c>
    </row>
    <row r="39" spans="1:38" ht="17.100000000000001" hidden="1">
      <c r="A39" s="25">
        <v>1.2</v>
      </c>
      <c r="B39" s="48" t="str">
        <v>Drill</v>
      </c>
      <c r="C39" s="3" t="str">
        <v>Drill refit components</v>
      </c>
      <c r="D39" s="3" t="str">
        <v>Single crate. Consumables/drill refit components</v>
      </c>
      <c r="E39" s="23">
        <v>96</v>
      </c>
      <c r="F39" s="23">
        <v>48</v>
      </c>
      <c r="G39" s="23">
        <v>48</v>
      </c>
      <c r="H39" s="23">
        <v>1</v>
      </c>
      <c r="I39" s="22">
        <v>128</v>
      </c>
      <c r="J39" s="22">
        <v>3000</v>
      </c>
      <c r="K39" s="4">
        <v>3000</v>
      </c>
      <c r="L39" s="445" t="str">
        <v>estimated</v>
      </c>
      <c r="M39" s="436" t="str">
        <v/>
      </c>
      <c r="N39" s="427" t="str">
        <v xml:space="preserve"> U. Wisc. Madison</v>
      </c>
      <c r="O39" s="435">
        <v>31</v>
      </c>
      <c r="P39" s="428">
        <v>45108</v>
      </c>
      <c r="Q39" s="429" t="str">
        <v>UWM - PTH</v>
      </c>
      <c r="R39" s="428">
        <v>45139</v>
      </c>
      <c r="S39" s="431" t="str">
        <v>Truck</v>
      </c>
      <c r="T39" s="431" t="str">
        <v>PTH - CHC</v>
      </c>
      <c r="U39" s="431" t="str">
        <v>-</v>
      </c>
      <c r="V39" s="433" t="str">
        <v>Comsur</v>
      </c>
      <c r="W39" s="433" t="str">
        <v>CHC-MCM</v>
      </c>
      <c r="X39" s="433" t="str">
        <v>-</v>
      </c>
      <c r="Y39" s="435" t="str">
        <v>USAP Air</v>
      </c>
      <c r="Z39" s="434">
        <v>45231</v>
      </c>
      <c r="AA39" s="427" t="str">
        <v>-</v>
      </c>
      <c r="AB39" s="435" t="str">
        <v>LC-130</v>
      </c>
      <c r="AC39" s="409">
        <v>45245</v>
      </c>
      <c r="AD39" s="409" t="str">
        <v>Yes</v>
      </c>
      <c r="AE39" s="409" t="str">
        <v>FY24 inter</v>
      </c>
      <c r="AF39" s="409" t="str">
        <v>FY24 intra</v>
      </c>
      <c r="AG39" s="409" t="str">
        <v>D. Gibson</v>
      </c>
      <c r="AH39" s="409">
        <v>44477</v>
      </c>
      <c r="AI39" s="409" t="str">
        <v>I. McEwen</v>
      </c>
      <c r="AJ39" s="409">
        <v>44477</v>
      </c>
      <c r="AK39" s="409" t="str">
        <v>Items identifed in prior field season</v>
      </c>
      <c r="AL39" s="9" t="str">
        <v/>
      </c>
    </row>
    <row r="40" spans="1:38" ht="17.100000000000001">
      <c r="A40" s="25">
        <v>1.2</v>
      </c>
      <c r="B40" s="48" t="str">
        <v>Drill</v>
      </c>
      <c r="C40" s="18" t="str">
        <v>Drill Heads DNF - X</v>
      </c>
      <c r="D40" s="496"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73">
        <v>440</v>
      </c>
      <c r="P40" s="429">
        <v>44440</v>
      </c>
      <c r="Q40" s="429" t="str">
        <v>UWM - PTH</v>
      </c>
      <c r="R40" s="429">
        <v>44880</v>
      </c>
      <c r="S40" s="431" t="str">
        <v>Truck</v>
      </c>
      <c r="T40" s="431" t="str">
        <v>PTH - MCM</v>
      </c>
      <c r="U40" s="431" t="str">
        <v>-</v>
      </c>
      <c r="V40" s="433" t="str">
        <v>USAP Vessel</v>
      </c>
      <c r="W40" s="433" t="str">
        <v>USAP Vessel</v>
      </c>
      <c r="X40" s="433" t="str">
        <v>-</v>
      </c>
      <c r="Y40" s="426" t="str">
        <v>-</v>
      </c>
      <c r="Z40" s="426">
        <v>44963</v>
      </c>
      <c r="AA40" s="427" t="str">
        <v>-</v>
      </c>
      <c r="AB40" s="435" t="str">
        <v>LC-130</v>
      </c>
      <c r="AC40" s="435">
        <v>44969</v>
      </c>
      <c r="AD40" s="409" t="str">
        <v>Yes</v>
      </c>
      <c r="AE40" s="409" t="str">
        <v>FY23 inter</v>
      </c>
      <c r="AF40" s="409" t="str">
        <v>FY23 intra</v>
      </c>
      <c r="AG40" s="435" t="str">
        <v>D. Gibson</v>
      </c>
      <c r="AH40" s="435">
        <v>44477</v>
      </c>
      <c r="AI40" s="435" t="str">
        <v>I. McEwen</v>
      </c>
      <c r="AJ40" s="435">
        <v>44477</v>
      </c>
      <c r="AK40" s="409" t="str">
        <v>One drill head shipped one year early for ull system wet-test</v>
      </c>
      <c r="AL40" s="9" t="str">
        <v/>
      </c>
    </row>
    <row r="41" spans="1:38" ht="23.25" hidden="1" customHeight="1">
      <c r="A41" s="25">
        <v>1.2</v>
      </c>
      <c r="B41" s="48" t="str">
        <v>Drill</v>
      </c>
      <c r="C41" s="18" t="str">
        <v>Drill Heads DNF - Y</v>
      </c>
      <c r="D41" s="41" t="str">
        <v>Drill Heads for winterover storage - ICL  - Do Not Freeze</v>
      </c>
      <c r="E41" s="23">
        <v>192</v>
      </c>
      <c r="F41" s="23">
        <v>24</v>
      </c>
      <c r="G41" s="23">
        <v>24</v>
      </c>
      <c r="H41" s="23">
        <v>1</v>
      </c>
      <c r="I41" s="22">
        <v>64</v>
      </c>
      <c r="J41" s="22">
        <v>1060</v>
      </c>
      <c r="K41" s="4">
        <v>1060</v>
      </c>
      <c r="L41" s="445" t="str">
        <v>actual</v>
      </c>
      <c r="M41" s="436" t="str">
        <v>DNF</v>
      </c>
      <c r="N41" s="427" t="str">
        <v xml:space="preserve"> U. Wisc. Madison</v>
      </c>
      <c r="O41" s="435">
        <v>805</v>
      </c>
      <c r="P41" s="428">
        <v>44440</v>
      </c>
      <c r="Q41" s="429" t="str">
        <v>UWM - PTH</v>
      </c>
      <c r="R41" s="428">
        <v>45245</v>
      </c>
      <c r="S41" s="431" t="str">
        <v>Truck</v>
      </c>
      <c r="T41" s="431" t="str">
        <v>PTH - MCM</v>
      </c>
      <c r="U41" s="431" t="str">
        <v>-</v>
      </c>
      <c r="V41" s="433" t="str">
        <v>USAP Vessel</v>
      </c>
      <c r="W41" s="433" t="str">
        <v>USAP Vessel</v>
      </c>
      <c r="X41" s="433" t="str">
        <v>-</v>
      </c>
      <c r="Y41" s="426" t="str">
        <v>-</v>
      </c>
      <c r="Z41" s="434">
        <v>45328</v>
      </c>
      <c r="AA41" s="427" t="str">
        <v>-</v>
      </c>
      <c r="AB41" s="435" t="str">
        <v>LC-130</v>
      </c>
      <c r="AC41" s="409">
        <v>45334</v>
      </c>
      <c r="AD41" s="409" t="str">
        <v>Yes</v>
      </c>
      <c r="AE41" s="409" t="str">
        <v>FY24 inter</v>
      </c>
      <c r="AF41" s="409" t="str">
        <v>FY24 intra</v>
      </c>
      <c r="AG41" s="409" t="str">
        <v>D. Gibson</v>
      </c>
      <c r="AH41" s="409">
        <v>44477</v>
      </c>
      <c r="AI41" s="409" t="str">
        <v>I. McEwen</v>
      </c>
      <c r="AJ41" s="409">
        <v>44477</v>
      </c>
      <c r="AK41" s="409" t="str">
        <v/>
      </c>
      <c r="AL41" s="9" t="str">
        <v/>
      </c>
    </row>
    <row r="42" spans="1:38" ht="22.5" hidden="1" customHeight="1">
      <c r="A42" s="25">
        <v>1.2</v>
      </c>
      <c r="B42" s="48" t="str">
        <v>Drill</v>
      </c>
      <c r="C42" s="18" t="str">
        <v>Drill Heads DNF - R</v>
      </c>
      <c r="D42" s="41" t="str">
        <v xml:space="preserve">Drill Heads for winterover storage - ICL  - Do Not Freeze </v>
      </c>
      <c r="E42" s="23">
        <v>192</v>
      </c>
      <c r="F42" s="23">
        <v>24</v>
      </c>
      <c r="G42" s="23">
        <v>24</v>
      </c>
      <c r="H42" s="23">
        <v>1</v>
      </c>
      <c r="I42" s="22">
        <v>64</v>
      </c>
      <c r="J42" s="22">
        <v>1060</v>
      </c>
      <c r="K42" s="4">
        <v>1060</v>
      </c>
      <c r="L42" s="445" t="str">
        <v>actual</v>
      </c>
      <c r="M42" s="436" t="str">
        <v>DNF</v>
      </c>
      <c r="N42" s="427" t="str">
        <v xml:space="preserve"> U. Wisc. Madison</v>
      </c>
      <c r="O42" s="435">
        <v>805</v>
      </c>
      <c r="P42" s="428">
        <v>44440</v>
      </c>
      <c r="Q42" s="429" t="str">
        <v>UWM - PTH</v>
      </c>
      <c r="R42" s="428">
        <v>45245</v>
      </c>
      <c r="S42" s="431" t="str">
        <v>Truck</v>
      </c>
      <c r="T42" s="431" t="str">
        <v>PTH - MCM</v>
      </c>
      <c r="U42" s="431" t="str">
        <v>-</v>
      </c>
      <c r="V42" s="433" t="str">
        <v>USAP Vessel</v>
      </c>
      <c r="W42" s="433" t="str">
        <v>USAP Vessel</v>
      </c>
      <c r="X42" s="433" t="str">
        <v>-</v>
      </c>
      <c r="Y42" s="426" t="str">
        <v>-</v>
      </c>
      <c r="Z42" s="434">
        <v>45328</v>
      </c>
      <c r="AA42" s="427" t="str">
        <v>-</v>
      </c>
      <c r="AB42" s="435" t="str">
        <v>LC-130</v>
      </c>
      <c r="AC42" s="409">
        <v>45334</v>
      </c>
      <c r="AD42" s="409" t="str">
        <v>Yes</v>
      </c>
      <c r="AE42" s="409" t="str">
        <v>FY24 inter</v>
      </c>
      <c r="AF42" s="409" t="str">
        <v>FY24 intra</v>
      </c>
      <c r="AG42" s="409" t="str">
        <v>D. Gibson</v>
      </c>
      <c r="AH42" s="409">
        <v>44477</v>
      </c>
      <c r="AI42" s="409" t="str">
        <v>I. McEwen</v>
      </c>
      <c r="AJ42" s="409">
        <v>44477</v>
      </c>
      <c r="AK42" s="409" t="str">
        <v/>
      </c>
      <c r="AL42" s="9" t="str">
        <v/>
      </c>
    </row>
    <row r="43" spans="1:38" ht="34.5" hidden="1" customHeight="1">
      <c r="A43" s="25">
        <v>1.2</v>
      </c>
      <c r="B43" s="48" t="str">
        <v>Drill</v>
      </c>
      <c r="C43" s="3" t="str">
        <v>Computing/controls components</v>
      </c>
      <c r="D43" s="3" t="str">
        <v>Computing and controls equipment (Sensor, motor drives and other sensitive electronics) - Do Not Freeze</v>
      </c>
      <c r="E43" s="4">
        <v>96</v>
      </c>
      <c r="F43" s="4">
        <v>48</v>
      </c>
      <c r="G43" s="4">
        <v>48</v>
      </c>
      <c r="H43" s="23">
        <v>1</v>
      </c>
      <c r="I43" s="22">
        <v>128</v>
      </c>
      <c r="J43" s="22">
        <v>3000</v>
      </c>
      <c r="K43" s="4">
        <v>3000</v>
      </c>
      <c r="L43" s="23" t="str">
        <v>estimated</v>
      </c>
      <c r="M43" s="6" t="str">
        <v>DNF</v>
      </c>
      <c r="N43" s="427" t="str">
        <v xml:space="preserve"> U. Wisc. Madison</v>
      </c>
      <c r="O43" s="435">
        <v>31</v>
      </c>
      <c r="P43" s="443">
        <v>45474</v>
      </c>
      <c r="Q43" s="429" t="str">
        <v>UWM - PTH</v>
      </c>
      <c r="R43" s="428">
        <v>45505</v>
      </c>
      <c r="S43" s="430" t="str">
        <v>Truck</v>
      </c>
      <c r="T43" s="431" t="str">
        <v>PTH - CHC</v>
      </c>
      <c r="U43" s="431" t="str">
        <v>-</v>
      </c>
      <c r="V43" s="432" t="str">
        <v>ComSur</v>
      </c>
      <c r="W43" s="433" t="str">
        <v>CHC-MCM</v>
      </c>
      <c r="X43" s="433" t="str">
        <v>-</v>
      </c>
      <c r="Y43" s="435" t="str">
        <v>USAP Air</v>
      </c>
      <c r="Z43" s="434">
        <v>45597</v>
      </c>
      <c r="AA43" s="409" t="str">
        <v>-</v>
      </c>
      <c r="AB43" s="435" t="str">
        <v>LC-130</v>
      </c>
      <c r="AC43" s="409">
        <v>45611</v>
      </c>
      <c r="AD43" s="409" t="str">
        <v>Yes</v>
      </c>
      <c r="AE43" s="409" t="str">
        <v>FY25 inter</v>
      </c>
      <c r="AF43" s="409" t="str">
        <v>FY25 intra</v>
      </c>
      <c r="AG43" s="409" t="str">
        <v>D. Gibson</v>
      </c>
      <c r="AH43" s="409">
        <v>44477</v>
      </c>
      <c r="AI43" s="409" t="str">
        <v>I. McEwen</v>
      </c>
      <c r="AJ43" s="409">
        <v>44477</v>
      </c>
      <c r="AK43" s="409" t="str">
        <v/>
      </c>
      <c r="AL43" s="9" t="str">
        <v/>
      </c>
    </row>
    <row r="44" spans="1:38" ht="21.75" hidden="1" customHeight="1">
      <c r="A44" s="67">
        <v>1.2</v>
      </c>
      <c r="B44" s="68" t="str">
        <v>Installation</v>
      </c>
      <c r="C44" s="19" t="str">
        <v xml:space="preserve">Installation Hardware  87-93 </v>
      </c>
      <c r="D44" s="19" t="str">
        <v>Installation hardware for winterover storage at Pole</v>
      </c>
      <c r="E44" s="69">
        <v>96</v>
      </c>
      <c r="F44" s="69">
        <v>48</v>
      </c>
      <c r="G44" s="69">
        <v>48</v>
      </c>
      <c r="H44" s="23">
        <v>7</v>
      </c>
      <c r="I44" s="22">
        <v>896</v>
      </c>
      <c r="J44" s="22">
        <v>1000</v>
      </c>
      <c r="K44" s="4">
        <v>7000</v>
      </c>
      <c r="L44" s="447" t="str">
        <v>estimated</v>
      </c>
      <c r="M44" s="7" t="str">
        <v/>
      </c>
      <c r="N44" s="427" t="str">
        <v xml:space="preserve"> U. Wisc. Madison</v>
      </c>
      <c r="O44" s="435">
        <v>123</v>
      </c>
      <c r="P44" s="443">
        <v>45122</v>
      </c>
      <c r="Q44" s="429" t="str">
        <v>UWM - PTH</v>
      </c>
      <c r="R44" s="428">
        <v>45245</v>
      </c>
      <c r="S44" s="430" t="str">
        <v>Truck</v>
      </c>
      <c r="T44" s="431" t="str">
        <v>PTH - MCM</v>
      </c>
      <c r="U44" s="431" t="str">
        <v>-</v>
      </c>
      <c r="V44" s="433" t="str">
        <v>USAP Vessel</v>
      </c>
      <c r="W44" s="433" t="str">
        <v>USAP Vessel</v>
      </c>
      <c r="X44" s="433" t="str">
        <v>-</v>
      </c>
      <c r="Y44" s="426" t="str">
        <v>-</v>
      </c>
      <c r="Z44" s="434">
        <v>45328</v>
      </c>
      <c r="AA44" s="427" t="str">
        <v>-</v>
      </c>
      <c r="AB44" s="435" t="str">
        <v>LC-130</v>
      </c>
      <c r="AC44" s="409">
        <v>45337</v>
      </c>
      <c r="AD44" s="409" t="str">
        <v>Yes</v>
      </c>
      <c r="AE44" s="409" t="str">
        <v>FY24 inter</v>
      </c>
      <c r="AF44" s="409" t="str">
        <v>FY24 intra</v>
      </c>
      <c r="AG44" s="409" t="str">
        <v>D. Tosi</v>
      </c>
      <c r="AH44" s="409">
        <v>44461</v>
      </c>
      <c r="AI44" s="409" t="str">
        <v>I. McEwen</v>
      </c>
      <c r="AJ44" s="409">
        <v>44461</v>
      </c>
      <c r="AK44" s="409" t="str">
        <v/>
      </c>
      <c r="AL44" s="9" t="str">
        <v/>
      </c>
    </row>
    <row r="45" spans="1:38" ht="32.450000000000003" hidden="1" customHeight="1">
      <c r="A45" s="67">
        <v>1.2</v>
      </c>
      <c r="B45" s="68" t="str">
        <v>Installation</v>
      </c>
      <c r="C45" s="19" t="str">
        <v xml:space="preserve">Installation Weights  87-93 </v>
      </c>
      <c r="D45" s="19" t="str">
        <v>Installation weights for winterover storage at Pole</v>
      </c>
      <c r="E45" s="69">
        <v>36</v>
      </c>
      <c r="F45" s="69">
        <v>24</v>
      </c>
      <c r="G45" s="69">
        <v>24</v>
      </c>
      <c r="H45" s="23">
        <v>7</v>
      </c>
      <c r="I45" s="22">
        <v>84</v>
      </c>
      <c r="J45" s="22">
        <v>785.71428571428567</v>
      </c>
      <c r="K45" s="4">
        <v>5500</v>
      </c>
      <c r="L45" s="69" t="str">
        <v>estimated</v>
      </c>
      <c r="M45" s="7" t="str">
        <v/>
      </c>
      <c r="N45" s="427" t="str">
        <v xml:space="preserve"> U. Wisc. Madison</v>
      </c>
      <c r="O45" s="435">
        <v>123</v>
      </c>
      <c r="P45" s="443">
        <v>45122</v>
      </c>
      <c r="Q45" s="429" t="str">
        <v>UWM - PTH</v>
      </c>
      <c r="R45" s="428">
        <v>45245</v>
      </c>
      <c r="S45" s="430" t="str">
        <v>Truck</v>
      </c>
      <c r="T45" s="431" t="str">
        <v>PTH - MCM</v>
      </c>
      <c r="U45" s="431" t="str">
        <v>-</v>
      </c>
      <c r="V45" s="433" t="str">
        <v>USAP Vessel</v>
      </c>
      <c r="W45" s="433" t="str">
        <v>USAP Vessel</v>
      </c>
      <c r="X45" s="433" t="str">
        <v>-</v>
      </c>
      <c r="Y45" s="426" t="str">
        <v>-</v>
      </c>
      <c r="Z45" s="434">
        <v>45328</v>
      </c>
      <c r="AA45" s="427" t="str">
        <v>-</v>
      </c>
      <c r="AB45" s="435" t="str">
        <v>LC-130</v>
      </c>
      <c r="AC45" s="409">
        <v>45337</v>
      </c>
      <c r="AD45" s="409" t="str">
        <v>Yes</v>
      </c>
      <c r="AE45" s="409" t="str">
        <v>FY24 inter</v>
      </c>
      <c r="AF45" s="409" t="str">
        <v>FY24 intra</v>
      </c>
      <c r="AG45" s="409" t="str">
        <v>D. Tosi</v>
      </c>
      <c r="AH45" s="409">
        <v>44461</v>
      </c>
      <c r="AI45" s="409" t="str">
        <v>I. McEwen</v>
      </c>
      <c r="AJ45" s="409">
        <v>44461</v>
      </c>
      <c r="AK45" s="409" t="str">
        <v/>
      </c>
      <c r="AL45" s="9" t="str">
        <v/>
      </c>
    </row>
    <row r="46" spans="1:38" ht="33.950000000000003" hidden="1">
      <c r="A46" s="25">
        <v>1.5</v>
      </c>
      <c r="B46" s="48" t="str">
        <v>Installation</v>
      </c>
      <c r="C46" s="3" t="str">
        <v>Calibration/Special Devices 87-88</v>
      </c>
      <c r="D46" s="3" t="str">
        <v>3+1 PencilBeams from UW, 2+1 pDOM and 1+1 LOMs - Do Not Deep Freeze</v>
      </c>
      <c r="E46" s="23">
        <v>58</v>
      </c>
      <c r="F46" s="23">
        <v>38</v>
      </c>
      <c r="G46" s="445">
        <v>41</v>
      </c>
      <c r="H46" s="23">
        <v>1</v>
      </c>
      <c r="I46" s="22">
        <v>52.293981481481481</v>
      </c>
      <c r="J46" s="22">
        <v>836</v>
      </c>
      <c r="K46" s="4">
        <v>836</v>
      </c>
      <c r="L46" s="23" t="str">
        <v>estimated</v>
      </c>
      <c r="M46" s="6" t="str">
        <v>DNDF [-40C]</v>
      </c>
      <c r="N46" s="427" t="str">
        <v xml:space="preserve"> U. Wisc. Madison</v>
      </c>
      <c r="O46" s="435">
        <v>244</v>
      </c>
      <c r="P46" s="443">
        <v>44895</v>
      </c>
      <c r="Q46" s="429" t="str">
        <v>UWM - PTH</v>
      </c>
      <c r="R46" s="428">
        <v>45139</v>
      </c>
      <c r="S46" s="430" t="str">
        <v>Truck</v>
      </c>
      <c r="T46" s="431" t="str">
        <v>PTH - CHC</v>
      </c>
      <c r="U46" s="431" t="str">
        <v>-</v>
      </c>
      <c r="V46" s="433" t="str">
        <v>ComSur</v>
      </c>
      <c r="W46" s="433" t="str">
        <v>CHC-MCM</v>
      </c>
      <c r="X46" s="433" t="str">
        <v>-</v>
      </c>
      <c r="Y46" s="435" t="str">
        <v>USAP Air</v>
      </c>
      <c r="Z46" s="434">
        <v>45231</v>
      </c>
      <c r="AA46" s="409" t="str">
        <v>-</v>
      </c>
      <c r="AB46" s="435" t="str">
        <v>LC-130</v>
      </c>
      <c r="AC46" s="409">
        <v>45275</v>
      </c>
      <c r="AD46" s="409" t="str">
        <v>Yes</v>
      </c>
      <c r="AE46" s="409" t="str">
        <v>FY24 inter</v>
      </c>
      <c r="AF46" s="409" t="str">
        <v>FY24 intra</v>
      </c>
      <c r="AG46" s="409" t="str">
        <v>D. Williams</v>
      </c>
      <c r="AH46" s="409">
        <v>44482</v>
      </c>
      <c r="AI46" s="409" t="str">
        <v>D. Tosi</v>
      </c>
      <c r="AJ46" s="409">
        <v>44482</v>
      </c>
      <c r="AK46" s="409" t="str">
        <v/>
      </c>
      <c r="AL46" s="9" t="str">
        <v/>
      </c>
    </row>
    <row r="47" spans="1:38" ht="68.099999999999994" hidden="1">
      <c r="A47" s="25">
        <v>1.3</v>
      </c>
      <c r="B47" s="48" t="str">
        <v>Installation</v>
      </c>
      <c r="C47" s="3" t="str">
        <v>Special Devices 87-88</v>
      </c>
      <c r="D47" s="3" t="str">
        <v>Special devices for 2 strings from UW (4+1 Radio Pulsers (all strings) 1+1 Radio Receivers, 3+1 FOM)  - Do Not Deep Freeze</v>
      </c>
      <c r="E47" s="23">
        <v>63</v>
      </c>
      <c r="F47" s="23">
        <v>40</v>
      </c>
      <c r="G47" s="23">
        <v>42</v>
      </c>
      <c r="H47" s="23">
        <v>1</v>
      </c>
      <c r="I47" s="22">
        <v>61.25</v>
      </c>
      <c r="J47" s="22">
        <v>677</v>
      </c>
      <c r="K47" s="4">
        <v>677</v>
      </c>
      <c r="L47" s="445" t="str">
        <v>preliminary</v>
      </c>
      <c r="M47" s="6" t="str">
        <v>DNDF [-40C]</v>
      </c>
      <c r="N47" s="10" t="str">
        <v>UWM/Kansas</v>
      </c>
      <c r="O47" s="435">
        <v>212</v>
      </c>
      <c r="P47" s="443">
        <v>44927</v>
      </c>
      <c r="Q47" s="429" t="str">
        <v>UWM - PTH</v>
      </c>
      <c r="R47" s="428">
        <v>45139</v>
      </c>
      <c r="S47" s="430" t="str">
        <v>Truck</v>
      </c>
      <c r="T47" s="431" t="str">
        <v>PTH - CHC</v>
      </c>
      <c r="U47" s="431" t="str">
        <v>-</v>
      </c>
      <c r="V47" s="433" t="str">
        <v>ComSur</v>
      </c>
      <c r="W47" s="433" t="str">
        <v>CHC-MCM</v>
      </c>
      <c r="X47" s="433" t="str">
        <v>-</v>
      </c>
      <c r="Y47" s="435" t="str">
        <v>USAP Air</v>
      </c>
      <c r="Z47" s="434">
        <v>45231</v>
      </c>
      <c r="AA47" s="427" t="str">
        <v>-</v>
      </c>
      <c r="AB47" s="435" t="str">
        <v>LC-130</v>
      </c>
      <c r="AC47" s="409">
        <v>45275</v>
      </c>
      <c r="AD47" s="409" t="str">
        <v>Yes</v>
      </c>
      <c r="AE47" s="409" t="str">
        <v>FY24 inter</v>
      </c>
      <c r="AF47" s="409" t="str">
        <v>FY24 intra</v>
      </c>
      <c r="AG47" s="409" t="str">
        <v>S. Boeser</v>
      </c>
      <c r="AH47" s="409">
        <v>44482</v>
      </c>
      <c r="AI47" s="409" t="str">
        <v>D. Tosi</v>
      </c>
      <c r="AJ47" s="409">
        <v>44482</v>
      </c>
      <c r="AK47" s="409" t="str">
        <v>4+1 Radio Pulser, weight  50 kg. 1+1 Radio receiver, assume mDOM weight, 3+1 FOM (assume mDOM weight) + 2ftx2ftx4ft FOM box (50 lbs).  Special Devices from UW. FTS, seismometer missing from estimate.  250 lbs crate estimate</v>
      </c>
      <c r="AL47" s="9" t="str">
        <v/>
      </c>
    </row>
    <row r="48" spans="1:38" ht="30" hidden="1" customHeight="1">
      <c r="A48" s="37">
        <v>1.2</v>
      </c>
      <c r="B48" s="70" t="str">
        <v>Installation</v>
      </c>
      <c r="C48" s="1" t="str">
        <v>Misc. Science Equipment - FY24</v>
      </c>
      <c r="D48" s="1" t="str">
        <v xml:space="preserve">Scientific and test equipment (SPAT, DCM et al.) - Do Not Freeze </v>
      </c>
      <c r="E48" s="38">
        <v>48</v>
      </c>
      <c r="F48" s="38">
        <v>48</v>
      </c>
      <c r="G48" s="38">
        <v>48</v>
      </c>
      <c r="H48" s="23">
        <v>1</v>
      </c>
      <c r="I48" s="22">
        <v>64</v>
      </c>
      <c r="J48" s="22">
        <v>1500</v>
      </c>
      <c r="K48" s="4">
        <v>1500</v>
      </c>
      <c r="L48" s="449" t="str">
        <v>estimated</v>
      </c>
      <c r="M48" s="439" t="str">
        <v>DNF</v>
      </c>
      <c r="N48" s="427" t="str">
        <v xml:space="preserve"> U. Wisc. Madison</v>
      </c>
      <c r="O48" s="435">
        <v>61</v>
      </c>
      <c r="P48" s="428">
        <v>45078</v>
      </c>
      <c r="Q48" s="429" t="str">
        <v>UWM - PTH</v>
      </c>
      <c r="R48" s="428">
        <v>45139</v>
      </c>
      <c r="S48" s="430" t="str">
        <v>Truck</v>
      </c>
      <c r="T48" s="431" t="str">
        <v>PTH - CHC</v>
      </c>
      <c r="U48" s="431" t="str">
        <v>-</v>
      </c>
      <c r="V48" s="433" t="str">
        <v>ComSur</v>
      </c>
      <c r="W48" s="433" t="str">
        <v>CHC-MCM</v>
      </c>
      <c r="X48" s="433" t="str">
        <v>-</v>
      </c>
      <c r="Y48" s="435" t="str">
        <v>USAP Air</v>
      </c>
      <c r="Z48" s="434">
        <v>45231</v>
      </c>
      <c r="AA48" s="427" t="str">
        <v>-</v>
      </c>
      <c r="AB48" s="435" t="str">
        <v>LC-130</v>
      </c>
      <c r="AC48" s="409">
        <v>45261</v>
      </c>
      <c r="AD48" s="409" t="str">
        <v>Yes</v>
      </c>
      <c r="AE48" s="409" t="str">
        <v>FY24 inter</v>
      </c>
      <c r="AF48" s="409" t="str">
        <v>FY24 intra</v>
      </c>
      <c r="AG48" s="409" t="str">
        <v>T. Karg</v>
      </c>
      <c r="AH48" s="409">
        <v>44477</v>
      </c>
      <c r="AI48" s="409" t="str">
        <v>D. Tosi</v>
      </c>
      <c r="AJ48" s="409">
        <v>44477</v>
      </c>
      <c r="AK48" s="409" t="str">
        <v/>
      </c>
      <c r="AL48" s="9" t="str">
        <v/>
      </c>
    </row>
    <row r="49" spans="1:40" ht="32.450000000000003" hidden="1" customHeight="1">
      <c r="A49" s="25">
        <v>1.3</v>
      </c>
      <c r="B49" s="48" t="str">
        <v>Installation</v>
      </c>
      <c r="C49" s="71" t="str">
        <v>Special Devices 89-93</v>
      </c>
      <c r="D49" s="3" t="str">
        <v>Special devices for 5 remaining strings from UW (4+1 FOM,2+1 Radio Receivers, 11+1 LOM + seismometer*) - Do Not Deep Freeze</v>
      </c>
      <c r="E49" s="23">
        <v>81</v>
      </c>
      <c r="F49" s="23">
        <v>56</v>
      </c>
      <c r="G49" s="23">
        <v>51</v>
      </c>
      <c r="H49" s="23">
        <v>1</v>
      </c>
      <c r="I49" s="22">
        <v>133.875</v>
      </c>
      <c r="J49" s="22">
        <v>1797</v>
      </c>
      <c r="K49" s="4">
        <v>1797</v>
      </c>
      <c r="L49" s="445" t="str">
        <v>estimated</v>
      </c>
      <c r="M49" s="6" t="str">
        <v>DNDF [-40C]</v>
      </c>
      <c r="N49" s="10" t="str">
        <v>UWM/Kansas</v>
      </c>
      <c r="O49" s="435">
        <v>213</v>
      </c>
      <c r="P49" s="443">
        <v>45292</v>
      </c>
      <c r="Q49" s="429" t="str">
        <v>UWM - PTH</v>
      </c>
      <c r="R49" s="428">
        <v>45505</v>
      </c>
      <c r="S49" s="430" t="str">
        <v>Truck</v>
      </c>
      <c r="T49" s="431" t="str">
        <v>PTH - CHC</v>
      </c>
      <c r="U49" s="431" t="str">
        <v>-</v>
      </c>
      <c r="V49" s="433" t="str">
        <v>ComAir</v>
      </c>
      <c r="W49" s="433" t="str">
        <v>CHC-MCM</v>
      </c>
      <c r="X49" s="433" t="str">
        <v>-</v>
      </c>
      <c r="Y49" s="435" t="str">
        <v>USAP Air</v>
      </c>
      <c r="Z49" s="434">
        <v>45597</v>
      </c>
      <c r="AA49" s="427" t="str">
        <v>-</v>
      </c>
      <c r="AB49" s="435" t="str">
        <v>LC-130</v>
      </c>
      <c r="AC49" s="409">
        <v>45621</v>
      </c>
      <c r="AD49" s="409" t="str">
        <v>Yes</v>
      </c>
      <c r="AE49" s="409" t="str">
        <v>FY25 inter</v>
      </c>
      <c r="AF49" s="409" t="str">
        <v>FY25 intra</v>
      </c>
      <c r="AG49" s="409" t="str">
        <v>S. Boeser</v>
      </c>
      <c r="AH49" s="409">
        <v>44482</v>
      </c>
      <c r="AI49" s="409" t="str">
        <v>D. Tosi</v>
      </c>
      <c r="AJ49" s="409">
        <v>44482</v>
      </c>
      <c r="AK49" s="409" t="str">
        <v xml:space="preserve">21 Special Devices from USA (11+ 1 LOM, 4+1 FOM, 2+1 RR, FTS ? , seismometer), assume mDOM weight. 200 lbs wood crate. FTS not included. (*) Seismometer not yet in CMD </v>
      </c>
      <c r="AL49" s="9" t="str">
        <v/>
      </c>
    </row>
    <row r="50" spans="1:40" ht="32.450000000000003" hidden="1" customHeight="1">
      <c r="A50" s="25">
        <v>1.5</v>
      </c>
      <c r="B50" s="48" t="str">
        <v>Installation</v>
      </c>
      <c r="C50" s="3" t="str">
        <v>Calibration/Special Devices  89-93</v>
      </c>
      <c r="D50" s="3" t="str">
        <v>8+1 PencilBeams, 12+1 pDOMs from UW - Do Not Deep Freeze</v>
      </c>
      <c r="E50" s="23">
        <v>75</v>
      </c>
      <c r="F50" s="23">
        <v>56.5</v>
      </c>
      <c r="G50" s="445">
        <v>41</v>
      </c>
      <c r="H50" s="23">
        <v>1</v>
      </c>
      <c r="I50" s="22">
        <v>100.54253472222223</v>
      </c>
      <c r="J50" s="22">
        <v>1602</v>
      </c>
      <c r="K50" s="4">
        <v>1602</v>
      </c>
      <c r="L50" s="23" t="str">
        <v>preliminary</v>
      </c>
      <c r="M50" s="6" t="str">
        <v>DNDF [-40C]</v>
      </c>
      <c r="N50" s="427" t="str">
        <v xml:space="preserve"> U. Wisc. Madison</v>
      </c>
      <c r="O50" s="435">
        <v>352</v>
      </c>
      <c r="P50" s="428">
        <v>45153</v>
      </c>
      <c r="Q50" s="429" t="str">
        <v>UWM - PTH</v>
      </c>
      <c r="R50" s="428">
        <v>45505</v>
      </c>
      <c r="S50" s="430" t="str">
        <v>Truck</v>
      </c>
      <c r="T50" s="431" t="str">
        <v>PTH - CHC</v>
      </c>
      <c r="U50" s="431" t="str">
        <v>-</v>
      </c>
      <c r="V50" s="433" t="str">
        <v>ComSur</v>
      </c>
      <c r="W50" s="433" t="str">
        <v>CHC-MCM</v>
      </c>
      <c r="X50" s="433" t="str">
        <v>-</v>
      </c>
      <c r="Y50" s="435" t="str">
        <v>USAP Air</v>
      </c>
      <c r="Z50" s="434">
        <v>45597</v>
      </c>
      <c r="AA50" s="427" t="str">
        <v>-</v>
      </c>
      <c r="AB50" s="435" t="str">
        <v>LC-130</v>
      </c>
      <c r="AC50" s="409">
        <v>45621</v>
      </c>
      <c r="AD50" s="409" t="str">
        <v>Yes</v>
      </c>
      <c r="AE50" s="409" t="str">
        <v>FY25 inter</v>
      </c>
      <c r="AF50" s="409" t="str">
        <v>FY25 intra</v>
      </c>
      <c r="AG50" s="409" t="str">
        <v>D. Williams</v>
      </c>
      <c r="AH50" s="409">
        <v>44482</v>
      </c>
      <c r="AI50" s="409" t="str">
        <v>D. Tosi</v>
      </c>
      <c r="AJ50" s="409">
        <v>44474</v>
      </c>
      <c r="AK50" s="409" t="str">
        <v xml:space="preserve">8+1 PencilBeams for strings 89-93, 12+1 pDOMs, assume mDOM weight. 244 lbs crate. </v>
      </c>
      <c r="AL50" s="9" t="str">
        <v/>
      </c>
    </row>
    <row r="51" spans="1:40" ht="27" hidden="1" customHeight="1">
      <c r="A51" s="37">
        <v>1.2</v>
      </c>
      <c r="B51" s="70" t="str">
        <v>Installation</v>
      </c>
      <c r="C51" s="1" t="str">
        <v>Misc. Science Equipment - FY25</v>
      </c>
      <c r="D51" s="1" t="str">
        <v>Scientific and test equipment  (Handheld test devices, Paros, et al.) - Do Not Freeze</v>
      </c>
      <c r="E51" s="38">
        <v>48</v>
      </c>
      <c r="F51" s="38">
        <v>48</v>
      </c>
      <c r="G51" s="38">
        <v>48</v>
      </c>
      <c r="H51" s="23">
        <v>1</v>
      </c>
      <c r="I51" s="22">
        <v>64</v>
      </c>
      <c r="J51" s="22">
        <v>1500</v>
      </c>
      <c r="K51" s="4">
        <v>1500</v>
      </c>
      <c r="L51" s="449" t="str">
        <v>estimated</v>
      </c>
      <c r="M51" s="439" t="str">
        <v>DNF</v>
      </c>
      <c r="N51" s="427" t="str">
        <v xml:space="preserve"> U. Wisc. Madison</v>
      </c>
      <c r="O51" s="435">
        <v>61</v>
      </c>
      <c r="P51" s="428">
        <v>45444</v>
      </c>
      <c r="Q51" s="429" t="str">
        <v>UWM - PTH</v>
      </c>
      <c r="R51" s="428">
        <v>45505</v>
      </c>
      <c r="S51" s="430" t="str">
        <v>Truck</v>
      </c>
      <c r="T51" s="431" t="str">
        <v>PTH - CHC</v>
      </c>
      <c r="U51" s="431" t="str">
        <v>-</v>
      </c>
      <c r="V51" s="433" t="str">
        <v>ComSur</v>
      </c>
      <c r="W51" s="433" t="str">
        <v>CHC-MCM</v>
      </c>
      <c r="X51" s="433" t="str">
        <v>-</v>
      </c>
      <c r="Y51" s="435" t="str">
        <v>USAP Air</v>
      </c>
      <c r="Z51" s="434">
        <v>45597</v>
      </c>
      <c r="AA51" s="427" t="str">
        <v>-</v>
      </c>
      <c r="AB51" s="435" t="str">
        <v>LC-130</v>
      </c>
      <c r="AC51" s="409">
        <v>45627</v>
      </c>
      <c r="AD51" s="409" t="str">
        <v>Yes</v>
      </c>
      <c r="AE51" s="409" t="str">
        <v>FY25 inter</v>
      </c>
      <c r="AF51" s="409" t="str">
        <v>FY25 intra</v>
      </c>
      <c r="AG51" s="409" t="str">
        <v>D. Tosi</v>
      </c>
      <c r="AH51" s="409">
        <v>44477</v>
      </c>
      <c r="AI51" s="409" t="str">
        <v>D. Tosi</v>
      </c>
      <c r="AJ51" s="409">
        <v>44477</v>
      </c>
      <c r="AK51" s="409" t="str">
        <v/>
      </c>
      <c r="AL51" s="9" t="str">
        <v/>
      </c>
    </row>
    <row r="52" spans="1:40" ht="33.950000000000003" hidden="1">
      <c r="A52" s="25">
        <v>1.5</v>
      </c>
      <c r="B52" s="48" t="str">
        <v>Installation</v>
      </c>
      <c r="C52" s="3" t="str">
        <v>Dust logging device</v>
      </c>
      <c r="D52" s="3" t="str">
        <v>Blue Logging device - sensitive equipment - Do Not Freeze</v>
      </c>
      <c r="E52" s="23">
        <v>48</v>
      </c>
      <c r="F52" s="23">
        <v>17</v>
      </c>
      <c r="G52" s="23">
        <v>17</v>
      </c>
      <c r="H52" s="23">
        <v>1</v>
      </c>
      <c r="I52" s="22">
        <v>8.0277777777777786</v>
      </c>
      <c r="J52" s="22">
        <v>60</v>
      </c>
      <c r="K52" s="4">
        <v>60</v>
      </c>
      <c r="L52" s="445" t="str">
        <v>actual</v>
      </c>
      <c r="M52" s="436" t="str">
        <v>DNF</v>
      </c>
      <c r="N52" s="427" t="str">
        <v xml:space="preserve"> U. Wisc. Madison</v>
      </c>
      <c r="O52" s="435">
        <v>61</v>
      </c>
      <c r="P52" s="443">
        <v>45444</v>
      </c>
      <c r="Q52" s="429" t="str">
        <v>UWM - PTH</v>
      </c>
      <c r="R52" s="428">
        <v>45505</v>
      </c>
      <c r="S52" s="430" t="str">
        <v>Truck</v>
      </c>
      <c r="T52" s="431" t="str">
        <v>PTH - CHC</v>
      </c>
      <c r="U52" s="431" t="str">
        <v>-</v>
      </c>
      <c r="V52" s="433" t="str">
        <v>ComAir</v>
      </c>
      <c r="W52" s="433" t="str">
        <v>CHC-MCM</v>
      </c>
      <c r="X52" s="433" t="str">
        <v>-</v>
      </c>
      <c r="Y52" s="435" t="str">
        <v>USAP Air</v>
      </c>
      <c r="Z52" s="434">
        <v>45597</v>
      </c>
      <c r="AA52" s="427" t="str">
        <v>-</v>
      </c>
      <c r="AB52" s="435" t="str">
        <v>LC-130</v>
      </c>
      <c r="AC52" s="409">
        <v>45621</v>
      </c>
      <c r="AD52" s="409" t="str">
        <v>Yes</v>
      </c>
      <c r="AE52" s="409" t="str">
        <v>FY25 inter</v>
      </c>
      <c r="AF52" s="409" t="str">
        <v>FY25 intra</v>
      </c>
      <c r="AG52" s="409" t="str">
        <v>D. Williams</v>
      </c>
      <c r="AH52" s="409">
        <v>44483</v>
      </c>
      <c r="AI52" s="409" t="str">
        <v>D. Tosi</v>
      </c>
      <c r="AJ52" s="409">
        <v>44457</v>
      </c>
      <c r="AK52" s="409" t="str">
        <v>Used weights from last deployment season shipment data (could be combined)</v>
      </c>
      <c r="AL52" s="9" t="str">
        <v/>
      </c>
    </row>
    <row r="53" spans="1:40" ht="33.950000000000003" hidden="1">
      <c r="A53" s="25">
        <v>1.5</v>
      </c>
      <c r="B53" s="48" t="str">
        <v>Installation</v>
      </c>
      <c r="C53" s="3" t="str">
        <v>Dust logging device</v>
      </c>
      <c r="D53" s="3" t="str">
        <v>Green Logging device - sensitive equipment - Do Not Freeze</v>
      </c>
      <c r="E53" s="23">
        <v>48</v>
      </c>
      <c r="F53" s="23">
        <v>17</v>
      </c>
      <c r="G53" s="23">
        <v>17</v>
      </c>
      <c r="H53" s="23">
        <v>1</v>
      </c>
      <c r="I53" s="22">
        <v>8.0277777777777786</v>
      </c>
      <c r="J53" s="22">
        <v>60</v>
      </c>
      <c r="K53" s="4">
        <v>60</v>
      </c>
      <c r="L53" s="445" t="str">
        <v>actual</v>
      </c>
      <c r="M53" s="436" t="str">
        <v>DNF</v>
      </c>
      <c r="N53" s="427" t="str">
        <v xml:space="preserve"> U. Wisc. Madison</v>
      </c>
      <c r="O53" s="435">
        <v>61</v>
      </c>
      <c r="P53" s="443">
        <v>45444</v>
      </c>
      <c r="Q53" s="429" t="str">
        <v>UWM - PTH</v>
      </c>
      <c r="R53" s="428">
        <v>45505</v>
      </c>
      <c r="S53" s="430" t="str">
        <v>Truck</v>
      </c>
      <c r="T53" s="431" t="str">
        <v>PTH - CHC</v>
      </c>
      <c r="U53" s="431" t="str">
        <v>-</v>
      </c>
      <c r="V53" s="433" t="str">
        <v>ComAir</v>
      </c>
      <c r="W53" s="433" t="str">
        <v>CHC-MCM</v>
      </c>
      <c r="X53" s="433" t="str">
        <v>-</v>
      </c>
      <c r="Y53" s="435" t="str">
        <v>USAP Air</v>
      </c>
      <c r="Z53" s="434">
        <v>45597</v>
      </c>
      <c r="AA53" s="427" t="str">
        <v>-</v>
      </c>
      <c r="AB53" s="435" t="str">
        <v>LC-130</v>
      </c>
      <c r="AC53" s="409">
        <v>45621</v>
      </c>
      <c r="AD53" s="409" t="str">
        <v>Yes</v>
      </c>
      <c r="AE53" s="409" t="str">
        <v>FY25 inter</v>
      </c>
      <c r="AF53" s="409" t="str">
        <v>FY25 intra</v>
      </c>
      <c r="AG53" s="409" t="str">
        <v>D. Williams</v>
      </c>
      <c r="AH53" s="409">
        <v>44483</v>
      </c>
      <c r="AI53" s="409" t="str">
        <v>D. Tosi</v>
      </c>
      <c r="AJ53" s="409">
        <v>44458</v>
      </c>
      <c r="AK53" s="409" t="str">
        <v>Used weights from last deployment season shipment data (could be combined)</v>
      </c>
      <c r="AL53" s="9" t="str">
        <v/>
      </c>
    </row>
    <row r="54" spans="1:40" ht="33.950000000000003" hidden="1">
      <c r="A54" s="25">
        <v>1.5</v>
      </c>
      <c r="B54" s="48" t="str">
        <v>Installation</v>
      </c>
      <c r="C54" s="3" t="str">
        <v>Dust logging device</v>
      </c>
      <c r="D54" s="3" t="str">
        <v>Electronics parts - sensitive equipment - Do Not Freeze</v>
      </c>
      <c r="E54" s="23">
        <v>26</v>
      </c>
      <c r="F54" s="23">
        <v>24</v>
      </c>
      <c r="G54" s="23">
        <v>24</v>
      </c>
      <c r="H54" s="23">
        <v>1</v>
      </c>
      <c r="I54" s="22">
        <v>8.6666666666666661</v>
      </c>
      <c r="J54" s="22">
        <v>120</v>
      </c>
      <c r="K54" s="4">
        <v>120</v>
      </c>
      <c r="L54" s="445" t="str">
        <v>actual</v>
      </c>
      <c r="M54" s="436" t="str">
        <v>DNF</v>
      </c>
      <c r="N54" s="427" t="str">
        <v xml:space="preserve"> U. Wisc. Madison</v>
      </c>
      <c r="O54" s="435">
        <v>61</v>
      </c>
      <c r="P54" s="443">
        <v>45444</v>
      </c>
      <c r="Q54" s="429" t="str">
        <v>UWM - PTH</v>
      </c>
      <c r="R54" s="428">
        <v>45505</v>
      </c>
      <c r="S54" s="430" t="str">
        <v>Truck</v>
      </c>
      <c r="T54" s="431" t="str">
        <v>PTH - CHC</v>
      </c>
      <c r="U54" s="431" t="str">
        <v>-</v>
      </c>
      <c r="V54" s="433" t="str">
        <v>ComAir</v>
      </c>
      <c r="W54" s="433" t="str">
        <v>CHC-MCM</v>
      </c>
      <c r="X54" s="433" t="str">
        <v>-</v>
      </c>
      <c r="Y54" s="435" t="str">
        <v>USAP Air</v>
      </c>
      <c r="Z54" s="434">
        <v>45597</v>
      </c>
      <c r="AA54" s="427" t="str">
        <v>-</v>
      </c>
      <c r="AB54" s="435" t="str">
        <v>LC-130</v>
      </c>
      <c r="AC54" s="409">
        <v>45621</v>
      </c>
      <c r="AD54" s="409" t="str">
        <v>Yes</v>
      </c>
      <c r="AE54" s="409" t="str">
        <v>FY25 inter</v>
      </c>
      <c r="AF54" s="409" t="str">
        <v>FY25 intra</v>
      </c>
      <c r="AG54" s="409" t="str">
        <v>D. Williams</v>
      </c>
      <c r="AH54" s="409">
        <v>44483</v>
      </c>
      <c r="AI54" s="409" t="str">
        <v>D. Tosi</v>
      </c>
      <c r="AJ54" s="409">
        <v>44459</v>
      </c>
      <c r="AK54" s="409" t="str">
        <v>Used weights from last deployment season shipment data (could be combined)</v>
      </c>
      <c r="AL54" s="9" t="str">
        <v/>
      </c>
    </row>
    <row r="55" spans="1:40" ht="33.950000000000003" hidden="1">
      <c r="A55" s="25">
        <v>1.5</v>
      </c>
      <c r="B55" s="48" t="str">
        <v>Installation</v>
      </c>
      <c r="C55" s="3" t="str">
        <v>Dust logging device</v>
      </c>
      <c r="D55" s="3" t="str">
        <v>Electronics parts - sensitive equipment - Do Not Freeze</v>
      </c>
      <c r="E55" s="23">
        <v>26</v>
      </c>
      <c r="F55" s="23">
        <v>23</v>
      </c>
      <c r="G55" s="23">
        <v>20</v>
      </c>
      <c r="H55" s="23">
        <v>1</v>
      </c>
      <c r="I55" s="22">
        <v>6.9212962962962967</v>
      </c>
      <c r="J55" s="22">
        <v>60</v>
      </c>
      <c r="K55" s="4">
        <v>60</v>
      </c>
      <c r="L55" s="445" t="str">
        <v>actual</v>
      </c>
      <c r="M55" s="436" t="str">
        <v>DNF</v>
      </c>
      <c r="N55" s="427" t="str">
        <v xml:space="preserve"> U. Wisc. Madison</v>
      </c>
      <c r="O55" s="435">
        <v>61</v>
      </c>
      <c r="P55" s="443">
        <v>45444</v>
      </c>
      <c r="Q55" s="429" t="str">
        <v>UWM - PTH</v>
      </c>
      <c r="R55" s="428">
        <v>45505</v>
      </c>
      <c r="S55" s="430" t="str">
        <v>Truck</v>
      </c>
      <c r="T55" s="431" t="str">
        <v>PTH - CHC</v>
      </c>
      <c r="U55" s="431" t="str">
        <v>-</v>
      </c>
      <c r="V55" s="433" t="str">
        <v>ComAir</v>
      </c>
      <c r="W55" s="433" t="str">
        <v>CHC-MCM</v>
      </c>
      <c r="X55" s="433" t="str">
        <v>-</v>
      </c>
      <c r="Y55" s="435" t="str">
        <v>USAP Air</v>
      </c>
      <c r="Z55" s="434">
        <v>45597</v>
      </c>
      <c r="AA55" s="427" t="str">
        <v>-</v>
      </c>
      <c r="AB55" s="435" t="str">
        <v>LC-130</v>
      </c>
      <c r="AC55" s="409">
        <v>45621</v>
      </c>
      <c r="AD55" s="409" t="str">
        <v>Yes</v>
      </c>
      <c r="AE55" s="409" t="str">
        <v>FY25 inter</v>
      </c>
      <c r="AF55" s="409" t="str">
        <v>FY25 intra</v>
      </c>
      <c r="AG55" s="409" t="str">
        <v>D. Williams</v>
      </c>
      <c r="AH55" s="409">
        <v>44483</v>
      </c>
      <c r="AI55" s="409" t="str">
        <v>D. Tosi</v>
      </c>
      <c r="AJ55" s="409">
        <v>44460</v>
      </c>
      <c r="AK55" s="409" t="str">
        <v>Used weights from last deployment season shipment data (could be combined)</v>
      </c>
      <c r="AL55" s="9" t="str">
        <v/>
      </c>
    </row>
    <row r="56" spans="1:40" ht="33.950000000000003" hidden="1">
      <c r="A56" s="25">
        <v>1.5</v>
      </c>
      <c r="B56" s="48" t="str">
        <v>Installation</v>
      </c>
      <c r="C56" s="3" t="str">
        <v>Logging winch</v>
      </c>
      <c r="D56" s="3" t="str">
        <v xml:space="preserve">Winch to be used for Dust Logging </v>
      </c>
      <c r="E56" s="23">
        <v>86</v>
      </c>
      <c r="F56" s="23">
        <v>60</v>
      </c>
      <c r="G56" s="23">
        <v>68</v>
      </c>
      <c r="H56" s="23">
        <v>1</v>
      </c>
      <c r="I56" s="22">
        <v>203.05555555555554</v>
      </c>
      <c r="J56" s="22">
        <v>3500</v>
      </c>
      <c r="K56" s="4">
        <v>3500</v>
      </c>
      <c r="L56" s="445" t="str">
        <v>preliminary</v>
      </c>
      <c r="M56" s="436" t="str">
        <v/>
      </c>
      <c r="N56" s="427" t="str">
        <v xml:space="preserve"> U. Wisc. Madison</v>
      </c>
      <c r="O56" s="435">
        <v>61</v>
      </c>
      <c r="P56" s="443">
        <v>45444</v>
      </c>
      <c r="Q56" s="429" t="str">
        <v>UWM - PTH</v>
      </c>
      <c r="R56" s="428">
        <v>45505</v>
      </c>
      <c r="S56" s="430" t="str">
        <v>Truck</v>
      </c>
      <c r="T56" s="431" t="str">
        <v>PTH - CHC</v>
      </c>
      <c r="U56" s="431" t="str">
        <v>-</v>
      </c>
      <c r="V56" s="433" t="str">
        <v>ComAir</v>
      </c>
      <c r="W56" s="433" t="str">
        <v>CHC-MCM</v>
      </c>
      <c r="X56" s="433" t="str">
        <v>-</v>
      </c>
      <c r="Y56" s="435" t="str">
        <v>USAP Air</v>
      </c>
      <c r="Z56" s="434">
        <v>45597</v>
      </c>
      <c r="AA56" s="427" t="str">
        <v>-</v>
      </c>
      <c r="AB56" s="435" t="str">
        <v>LC-130</v>
      </c>
      <c r="AC56" s="409">
        <v>45621</v>
      </c>
      <c r="AD56" s="409" t="str">
        <v>Yes</v>
      </c>
      <c r="AE56" s="409" t="str">
        <v>FY25 inter</v>
      </c>
      <c r="AF56" s="409" t="str">
        <v>FY25 intra</v>
      </c>
      <c r="AG56" s="409" t="str">
        <v>D. Tosi</v>
      </c>
      <c r="AH56" s="409">
        <v>44477</v>
      </c>
      <c r="AI56" s="409" t="str">
        <v>I. McEwen</v>
      </c>
      <c r="AJ56" s="409">
        <v>44477</v>
      </c>
      <c r="AK56" s="409" t="str">
        <v>Used weights and cubes of IDP deep logging winch. Send back end of season</v>
      </c>
      <c r="AL56" s="9" t="str">
        <v/>
      </c>
    </row>
    <row r="57" spans="1:40" ht="33.950000000000003" hidden="1">
      <c r="A57" s="25">
        <v>1.5</v>
      </c>
      <c r="B57" s="48" t="str">
        <v>Installation</v>
      </c>
      <c r="C57" s="3" t="str">
        <v>Logging winch control box</v>
      </c>
      <c r="D57" s="3" t="str">
        <v>Control Box for winch for Dust Logging  - sensitive equipment - Do Not Freeze</v>
      </c>
      <c r="E57" s="23">
        <v>48</v>
      </c>
      <c r="F57" s="23">
        <v>48</v>
      </c>
      <c r="G57" s="23">
        <v>36</v>
      </c>
      <c r="H57" s="23">
        <v>1</v>
      </c>
      <c r="I57" s="22">
        <v>48</v>
      </c>
      <c r="J57" s="22">
        <v>400</v>
      </c>
      <c r="K57" s="4">
        <v>400</v>
      </c>
      <c r="L57" s="445" t="str">
        <v>preliminary</v>
      </c>
      <c r="M57" s="436" t="str">
        <v>DNF</v>
      </c>
      <c r="N57" s="427" t="str">
        <v xml:space="preserve"> U. Wisc. Madison</v>
      </c>
      <c r="O57" s="435">
        <v>61</v>
      </c>
      <c r="P57" s="443">
        <v>45444</v>
      </c>
      <c r="Q57" s="429" t="str">
        <v>UWM - PTH</v>
      </c>
      <c r="R57" s="428">
        <v>45505</v>
      </c>
      <c r="S57" s="430" t="str">
        <v>Truck</v>
      </c>
      <c r="T57" s="431" t="str">
        <v>PTH - CHC</v>
      </c>
      <c r="U57" s="431" t="str">
        <v>-</v>
      </c>
      <c r="V57" s="433" t="str">
        <v>ComAir</v>
      </c>
      <c r="W57" s="433" t="str">
        <v>CHC-MCM</v>
      </c>
      <c r="X57" s="433" t="str">
        <v>-</v>
      </c>
      <c r="Y57" s="435" t="str">
        <v>USAP Air</v>
      </c>
      <c r="Z57" s="434">
        <v>45597</v>
      </c>
      <c r="AA57" s="427" t="str">
        <v>-</v>
      </c>
      <c r="AB57" s="435" t="str">
        <v>LC-130</v>
      </c>
      <c r="AC57" s="409">
        <v>45621</v>
      </c>
      <c r="AD57" s="409" t="str">
        <v>Yes</v>
      </c>
      <c r="AE57" s="409" t="str">
        <v>FY25 inter</v>
      </c>
      <c r="AF57" s="409" t="str">
        <v>FY25 intra</v>
      </c>
      <c r="AG57" s="409" t="str">
        <v>D. Tosi</v>
      </c>
      <c r="AH57" s="409">
        <v>44477</v>
      </c>
      <c r="AI57" s="409" t="str">
        <v>I. McEwen</v>
      </c>
      <c r="AJ57" s="409">
        <v>44477</v>
      </c>
      <c r="AK57" s="409" t="str">
        <v>Used weights and cubes of IDP deep logging winch. Send back end of season</v>
      </c>
      <c r="AL57" s="9"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ht="30" hidden="1" customHeight="1" thickTop="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35">
        <v>14</v>
      </c>
      <c r="P59" s="428">
        <v>44866</v>
      </c>
      <c r="Q59" s="429" t="str">
        <v>MSU - PTH</v>
      </c>
      <c r="R59" s="428">
        <v>44880</v>
      </c>
      <c r="S59" s="430" t="str">
        <v>Truck</v>
      </c>
      <c r="T59" s="431" t="str">
        <v>PTH - MCM</v>
      </c>
      <c r="U59" s="431" t="str">
        <v>-</v>
      </c>
      <c r="V59" s="433" t="str">
        <v>USAP Vessel</v>
      </c>
      <c r="W59" s="433" t="str">
        <v>USAP Vessel</v>
      </c>
      <c r="X59" s="433" t="str">
        <v>-</v>
      </c>
      <c r="Y59" s="426" t="str">
        <v>-</v>
      </c>
      <c r="Z59" s="434">
        <v>44963</v>
      </c>
      <c r="AA59" s="409" t="str">
        <v>-</v>
      </c>
      <c r="AB59" s="435" t="str">
        <v>LC-130/SPoT</v>
      </c>
      <c r="AC59" s="409">
        <v>45270</v>
      </c>
      <c r="AD59" s="409" t="str">
        <v>Yes</v>
      </c>
      <c r="AE59" s="409" t="str">
        <v>FY23 inter</v>
      </c>
      <c r="AF59" s="409" t="str">
        <v>FY24 intra</v>
      </c>
      <c r="AG59" s="409" t="str">
        <v>T. DeYoung</v>
      </c>
      <c r="AH59" s="409">
        <v>44482</v>
      </c>
      <c r="AI59" s="409" t="str">
        <v>D. Tosi</v>
      </c>
      <c r="AJ59" s="409">
        <v>44480</v>
      </c>
      <c r="AK59" s="409" t="str">
        <v>Each is 66" x 30" x 14", each is 112 lbs. Assume Folding crate. Simple passive objects, work plan can probably be shifted to increase float.</v>
      </c>
      <c r="AL59" s="9" t="str">
        <v/>
      </c>
    </row>
    <row r="60" spans="1:40" ht="32.25" hidden="1"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07" t="str">
        <v/>
      </c>
      <c r="N60" s="427" t="str">
        <v>MSU</v>
      </c>
      <c r="O60" s="435">
        <v>366</v>
      </c>
      <c r="P60" s="428">
        <v>44530</v>
      </c>
      <c r="Q60" s="429" t="str">
        <v>MSU - PTH</v>
      </c>
      <c r="R60" s="428">
        <v>44896</v>
      </c>
      <c r="S60" s="430" t="str">
        <v>Truck</v>
      </c>
      <c r="T60" s="431" t="str">
        <v>PTH - MCM</v>
      </c>
      <c r="U60" s="431" t="str">
        <v>-</v>
      </c>
      <c r="V60" s="433" t="str">
        <v>USAP Vessel</v>
      </c>
      <c r="W60" s="433" t="str">
        <v>USAP Vessel</v>
      </c>
      <c r="X60" s="433" t="str">
        <v>-</v>
      </c>
      <c r="Y60" s="426" t="str">
        <v>-</v>
      </c>
      <c r="Z60" s="434">
        <v>44963</v>
      </c>
      <c r="AA60" s="409" t="str">
        <v>-</v>
      </c>
      <c r="AB60" s="435" t="str">
        <v>LC-130</v>
      </c>
      <c r="AC60" s="409">
        <v>45250</v>
      </c>
      <c r="AD60" s="409" t="str">
        <v>Yes</v>
      </c>
      <c r="AE60" s="409" t="str">
        <v>FY23 inter</v>
      </c>
      <c r="AF60" s="409" t="str">
        <v>FY24 intra</v>
      </c>
      <c r="AG60" s="409" t="str">
        <v>T. DeYoung</v>
      </c>
      <c r="AH60" s="409">
        <v>44482</v>
      </c>
      <c r="AI60" s="409" t="str">
        <v>D. Tosi</v>
      </c>
      <c r="AJ60" s="409">
        <v>44480</v>
      </c>
      <c r="AK60" s="409" t="str">
        <v/>
      </c>
      <c r="AL60" s="9" t="str">
        <v/>
      </c>
    </row>
    <row r="61" spans="1:40" ht="68.099999999999994" hidden="1">
      <c r="A61" s="35">
        <v>1.4</v>
      </c>
      <c r="B61" s="51" t="str">
        <v>Installation</v>
      </c>
      <c r="C61" s="20" t="str">
        <v>Breakout cables for strings 87-88</v>
      </c>
      <c r="D61" s="20" t="str">
        <v>Standard vessel shipping.  2 wooden crates containing spooled breakout cable assemblies - 96 cf / 1,000 lbs each - Do Not Deep Freeze</v>
      </c>
      <c r="E61" s="36">
        <v>72</v>
      </c>
      <c r="F61" s="36">
        <v>48</v>
      </c>
      <c r="G61" s="36">
        <v>48</v>
      </c>
      <c r="H61" s="23">
        <v>2</v>
      </c>
      <c r="I61" s="4">
        <v>192</v>
      </c>
      <c r="J61" s="4">
        <v>1000</v>
      </c>
      <c r="K61" s="4">
        <v>2000</v>
      </c>
      <c r="L61" s="36" t="str">
        <v>estimated</v>
      </c>
      <c r="M61" s="107" t="str">
        <v>DNDF[-40C](*)</v>
      </c>
      <c r="N61" s="427" t="str">
        <v>MSU</v>
      </c>
      <c r="O61" s="435">
        <v>46</v>
      </c>
      <c r="P61" s="428">
        <v>44985</v>
      </c>
      <c r="Q61" s="429" t="str">
        <v>MSU - PTH</v>
      </c>
      <c r="R61" s="428">
        <v>45031</v>
      </c>
      <c r="S61" s="431" t="str">
        <v>Truck</v>
      </c>
      <c r="T61" s="431" t="str">
        <v>PTH - MCM</v>
      </c>
      <c r="U61" s="431" t="str">
        <v>-</v>
      </c>
      <c r="V61" s="433" t="str">
        <v>USAP Vessel</v>
      </c>
      <c r="W61" s="433" t="str">
        <v>USAP Vessel</v>
      </c>
      <c r="X61" s="433" t="str">
        <v>-</v>
      </c>
      <c r="Y61" s="426" t="str">
        <v>-</v>
      </c>
      <c r="Z61" s="434">
        <v>45328</v>
      </c>
      <c r="AA61" s="427" t="str">
        <v>-</v>
      </c>
      <c r="AB61" s="435" t="str">
        <v>LC-130</v>
      </c>
      <c r="AC61" s="409">
        <v>45337</v>
      </c>
      <c r="AD61" s="409" t="str">
        <v>Yes</v>
      </c>
      <c r="AE61" s="409" t="str">
        <v>FY24 inter</v>
      </c>
      <c r="AF61" s="409" t="str">
        <v>FY24 intra</v>
      </c>
      <c r="AG61" s="409" t="str">
        <v>T. DeYoung</v>
      </c>
      <c r="AH61" s="409">
        <v>44459</v>
      </c>
      <c r="AI61" s="409" t="str">
        <v>D. Tosi</v>
      </c>
      <c r="AJ61" s="409">
        <v>44480</v>
      </c>
      <c r="AK61" s="409" t="e">
        <v>#VALUE!</v>
      </c>
      <c r="AL61" s="9" t="str">
        <v/>
      </c>
    </row>
    <row r="62" spans="1:40" ht="32.25" hidden="1" customHeight="1">
      <c r="A62" s="35">
        <v>1.4</v>
      </c>
      <c r="B62" s="89" t="str">
        <v>Installation</v>
      </c>
      <c r="C62" s="20" t="str">
        <v>Breakout cables for strings 89-93</v>
      </c>
      <c r="D62" s="20" t="str">
        <v>Stored in McMurdo FY24. 5 wooden crates containing spooled breakout cable assemblies - 96 cf/ 1,000 lbs each (preliminary) -  Do Not Deep Freeze</v>
      </c>
      <c r="E62" s="36">
        <v>72</v>
      </c>
      <c r="F62" s="36">
        <v>48</v>
      </c>
      <c r="G62" s="36">
        <v>48</v>
      </c>
      <c r="H62" s="23">
        <v>5</v>
      </c>
      <c r="I62" s="4">
        <v>480</v>
      </c>
      <c r="J62" s="4">
        <v>1000</v>
      </c>
      <c r="K62" s="4">
        <v>5000</v>
      </c>
      <c r="L62" s="36" t="str">
        <v>estimated</v>
      </c>
      <c r="M62" s="497" t="str">
        <v>DNDF[-40C](*)</v>
      </c>
      <c r="N62" s="427" t="str">
        <v>MSU</v>
      </c>
      <c r="O62" s="435">
        <v>24</v>
      </c>
      <c r="P62" s="428">
        <v>45068</v>
      </c>
      <c r="Q62" s="429" t="str">
        <v>MSU - PTH</v>
      </c>
      <c r="R62" s="428">
        <v>45092</v>
      </c>
      <c r="S62" s="431" t="str">
        <v>Truck</v>
      </c>
      <c r="T62" s="431" t="str">
        <v>PTH - MCM</v>
      </c>
      <c r="U62" s="431" t="str">
        <v>-</v>
      </c>
      <c r="V62" s="433" t="str">
        <v>USAP Vessel</v>
      </c>
      <c r="W62" s="433" t="str">
        <v>USAP Vessel</v>
      </c>
      <c r="X62" s="433" t="str">
        <v>-</v>
      </c>
      <c r="Y62" s="426" t="str">
        <v>-</v>
      </c>
      <c r="Z62" s="434">
        <v>45328</v>
      </c>
      <c r="AA62" s="427" t="str">
        <v>-</v>
      </c>
      <c r="AB62" s="435" t="str">
        <v>LC-130/SPoT</v>
      </c>
      <c r="AC62" s="409">
        <v>45621</v>
      </c>
      <c r="AD62" s="409" t="str">
        <v>Yes</v>
      </c>
      <c r="AE62" s="409" t="str">
        <v>FY24 inter</v>
      </c>
      <c r="AF62" s="409" t="str">
        <v>FY25 intra</v>
      </c>
      <c r="AG62" s="409" t="str">
        <v>T. DeYoung</v>
      </c>
      <c r="AH62" s="409">
        <v>44459</v>
      </c>
      <c r="AI62" s="409" t="str">
        <v>D. Tosi</v>
      </c>
      <c r="AJ62" s="409">
        <v>44459</v>
      </c>
      <c r="AK62" s="409" t="str">
        <v xml:space="preserve">Float in PTH due to storage limitation in MSU.
(*) storage in McMurdo pending low temperature test  </v>
      </c>
      <c r="AL62" s="9" t="str">
        <v/>
      </c>
    </row>
    <row r="63" spans="1:40" ht="32.25" hidden="1" customHeight="1">
      <c r="A63" s="35">
        <v>1.4</v>
      </c>
      <c r="B63" s="51" t="str">
        <v>Installation</v>
      </c>
      <c r="C63" s="20" t="str">
        <v>Main (downhole) load members 87-93</v>
      </c>
      <c r="D63" s="20" t="str">
        <v>May be possible to store in McMurdo until drill season - Do Not Deep Freeze</v>
      </c>
      <c r="E63" s="36">
        <v>47</v>
      </c>
      <c r="F63" s="36">
        <v>47</v>
      </c>
      <c r="G63" s="36">
        <v>39</v>
      </c>
      <c r="H63" s="23">
        <v>7</v>
      </c>
      <c r="I63" s="4">
        <v>348.99131944444446</v>
      </c>
      <c r="J63" s="4">
        <v>766</v>
      </c>
      <c r="K63" s="4">
        <v>5362</v>
      </c>
      <c r="L63" s="36" t="str">
        <v>preliminary</v>
      </c>
      <c r="M63" s="107" t="str">
        <v>DNDF[-40C](*)</v>
      </c>
      <c r="N63" s="427" t="str">
        <v>MSU</v>
      </c>
      <c r="O63" s="435">
        <v>14</v>
      </c>
      <c r="P63" s="428">
        <v>45017</v>
      </c>
      <c r="Q63" s="429" t="str">
        <v>MSU - PTH</v>
      </c>
      <c r="R63" s="428">
        <v>45031</v>
      </c>
      <c r="S63" s="431" t="str">
        <v>Truck</v>
      </c>
      <c r="T63" s="431" t="str">
        <v>PTH - MCM</v>
      </c>
      <c r="U63" s="431" t="str">
        <v>-</v>
      </c>
      <c r="V63" s="433" t="str">
        <v>USAP Vessel</v>
      </c>
      <c r="W63" s="433" t="str">
        <v>USAP Vessel</v>
      </c>
      <c r="X63" s="433" t="str">
        <v>-</v>
      </c>
      <c r="Y63" s="426" t="str">
        <v>-</v>
      </c>
      <c r="Z63" s="434">
        <v>45328</v>
      </c>
      <c r="AA63" s="409" t="str">
        <v>-</v>
      </c>
      <c r="AB63" s="435" t="str">
        <v>LC-130/SPoT</v>
      </c>
      <c r="AC63" s="409">
        <v>45627</v>
      </c>
      <c r="AD63" s="409" t="str">
        <v>Yes</v>
      </c>
      <c r="AE63" s="409" t="str">
        <v>FY24 inter</v>
      </c>
      <c r="AF63" s="409" t="str">
        <v>FY25 intra</v>
      </c>
      <c r="AG63" s="409" t="str">
        <v>T. DeYoung</v>
      </c>
      <c r="AH63" s="409">
        <v>44459</v>
      </c>
      <c r="AI63" s="409" t="str">
        <v>D. Tosi</v>
      </c>
      <c r="AJ63" s="409">
        <v>44480</v>
      </c>
      <c r="AK63" s="409" t="str">
        <v>Shipping date synched with main (downhole) cables due to storage limitation in MSU. Float in PTH.</v>
      </c>
      <c r="AL63" s="9" t="str">
        <v/>
      </c>
    </row>
    <row r="64" spans="1:40" ht="40.5" hidden="1" customHeight="1">
      <c r="A64" s="35">
        <v>1.4</v>
      </c>
      <c r="B64" s="51" t="str">
        <v>Installation</v>
      </c>
      <c r="C64" s="20" t="str">
        <v>Main (downhole) cables 87-93</v>
      </c>
      <c r="D64" s="20" t="str">
        <v>May be possible to store in McMurdo until drill season - Do Not Deep Freeze</v>
      </c>
      <c r="E64" s="36">
        <v>96</v>
      </c>
      <c r="F64" s="36">
        <v>96</v>
      </c>
      <c r="G64" s="36">
        <v>96</v>
      </c>
      <c r="H64" s="23">
        <v>7</v>
      </c>
      <c r="I64" s="4">
        <v>3584</v>
      </c>
      <c r="J64" s="4">
        <v>15000</v>
      </c>
      <c r="K64" s="4">
        <v>105000</v>
      </c>
      <c r="L64" s="36" t="str">
        <v>preliminary</v>
      </c>
      <c r="M64" s="107" t="str">
        <v>DNDF[-40C](*)</v>
      </c>
      <c r="N64" s="427" t="str">
        <v>MSU</v>
      </c>
      <c r="O64" s="435">
        <v>14</v>
      </c>
      <c r="P64" s="428">
        <v>45017</v>
      </c>
      <c r="Q64" s="429" t="str">
        <v>MSU - PTH</v>
      </c>
      <c r="R64" s="428">
        <v>45031</v>
      </c>
      <c r="S64" s="431" t="str">
        <v>Truck</v>
      </c>
      <c r="T64" s="431" t="str">
        <v>PTH - MCM</v>
      </c>
      <c r="U64" s="431" t="str">
        <v>-</v>
      </c>
      <c r="V64" s="433" t="str">
        <v>USAP Vessel</v>
      </c>
      <c r="W64" s="433" t="str">
        <v>USAP Vessel</v>
      </c>
      <c r="X64" s="433" t="str">
        <v>-</v>
      </c>
      <c r="Y64" s="426" t="str">
        <v>-</v>
      </c>
      <c r="Z64" s="434">
        <v>45328</v>
      </c>
      <c r="AA64" s="409" t="str">
        <v>-</v>
      </c>
      <c r="AB64" s="435" t="str">
        <v>LC-130/SPoT</v>
      </c>
      <c r="AC64" s="409">
        <v>45627</v>
      </c>
      <c r="AD64" s="409" t="str">
        <v>Yes</v>
      </c>
      <c r="AE64" s="409" t="str">
        <v>FY24 inter</v>
      </c>
      <c r="AF64" s="409" t="str">
        <v>FY25 intra</v>
      </c>
      <c r="AG64" s="409" t="str">
        <v>T. DeYoung</v>
      </c>
      <c r="AH64" s="409">
        <v>44459</v>
      </c>
      <c r="AI64" s="409" t="str">
        <v>D. Tosi</v>
      </c>
      <c r="AJ64" s="409">
        <v>44480</v>
      </c>
      <c r="AK64" s="409" t="str">
        <v>Shipping date chosen to be 2 weeks after scheduled ready to ship date because of storage limitations at MSU. additional 7 months of float at Port Hueneme assuming USAP vessel departure.  (*) storage in McMurdo pending low temperature test.</v>
      </c>
      <c r="AL64" s="9" t="str">
        <v/>
      </c>
    </row>
    <row r="65" spans="1:40" ht="72" hidden="1" customHeight="1">
      <c r="A65" s="25">
        <v>1.3</v>
      </c>
      <c r="B65" s="48" t="str">
        <v>Installation</v>
      </c>
      <c r="C65" s="3" t="str">
        <v>String Sensors 89-93</v>
      </c>
      <c r="D65" s="3" t="str">
        <v>Optical Sensors for 5 strings from MSU (mDOMs) - Do Not Deep Freeze</v>
      </c>
      <c r="E65" s="23">
        <v>40</v>
      </c>
      <c r="F65" s="23">
        <v>48</v>
      </c>
      <c r="G65" s="445">
        <v>46</v>
      </c>
      <c r="H65" s="23">
        <v>25</v>
      </c>
      <c r="I65" s="4">
        <v>1277.7777777777778</v>
      </c>
      <c r="J65" s="4">
        <v>573</v>
      </c>
      <c r="K65" s="4">
        <v>14325</v>
      </c>
      <c r="L65" s="445" t="str">
        <v>actual(**)</v>
      </c>
      <c r="M65" s="6" t="str">
        <v>DNDF [-40C]</v>
      </c>
      <c r="N65" s="10" t="str">
        <v>MSU</v>
      </c>
      <c r="O65" s="435">
        <v>366</v>
      </c>
      <c r="P65" s="428">
        <v>45139</v>
      </c>
      <c r="Q65" s="429" t="str">
        <v>MSU - PTH</v>
      </c>
      <c r="R65" s="428">
        <v>45505</v>
      </c>
      <c r="S65" s="431" t="str">
        <v>Truck</v>
      </c>
      <c r="T65" s="431" t="str">
        <v>PTH - CHC</v>
      </c>
      <c r="U65" s="431" t="str">
        <v>-</v>
      </c>
      <c r="V65" s="433" t="str">
        <v>ComSur</v>
      </c>
      <c r="W65" s="433" t="str">
        <v>CHC - MCM</v>
      </c>
      <c r="X65" s="433" t="str">
        <v>-</v>
      </c>
      <c r="Y65" s="435" t="str">
        <v>USAP Air</v>
      </c>
      <c r="Z65" s="434">
        <v>45597</v>
      </c>
      <c r="AA65" s="427" t="str">
        <v>-</v>
      </c>
      <c r="AB65" s="435" t="str">
        <v>LC-130</v>
      </c>
      <c r="AC65" s="409">
        <v>45621</v>
      </c>
      <c r="AD65" s="409" t="str">
        <v>Yes</v>
      </c>
      <c r="AE65" s="409" t="str">
        <v>FY25 inter</v>
      </c>
      <c r="AF65" s="409" t="str">
        <v>FY25 intra</v>
      </c>
      <c r="AG65" s="409" t="str">
        <v>T. Karg</v>
      </c>
      <c r="AH65" s="409">
        <v>44459</v>
      </c>
      <c r="AI65" s="409" t="str">
        <v>D. Tosi</v>
      </c>
      <c r="AJ65" s="409">
        <v>44461</v>
      </c>
      <c r="AK65" s="409" t="str">
        <v>mDOM weight is 28 kg/boxed + 35kg pallet, assume 8 mDOMs/pallet (189 to be deployed + 11 spares)(*)Assumed to be shipped in 2x20' HC  (5115 lbs, 238inx96inx114in) or a 40 ft HC, purchased by MSU or loaned in PTH (container weight not included)</v>
      </c>
      <c r="AL65" s="9" t="str">
        <v/>
      </c>
    </row>
    <row r="66" spans="1:40" ht="51" hidden="1">
      <c r="A66" s="25">
        <v>1.3</v>
      </c>
      <c r="B66" s="48" t="str">
        <v>Installation</v>
      </c>
      <c r="C66" s="3" t="str">
        <v>String Sensors 89-93</v>
      </c>
      <c r="D66" s="3" t="str">
        <v>Optical Sensors for 5 strings from MSU (mDOMs) containers (TBD) - Do Not Deep Freeze</v>
      </c>
      <c r="E66" s="23">
        <v>238</v>
      </c>
      <c r="F66" s="23">
        <v>96</v>
      </c>
      <c r="G66" s="445">
        <v>114</v>
      </c>
      <c r="H66" s="23">
        <v>0</v>
      </c>
      <c r="I66" s="4">
        <v>0</v>
      </c>
      <c r="J66" s="4">
        <v>5115</v>
      </c>
      <c r="K66" s="4">
        <v>0</v>
      </c>
      <c r="L66" s="445" t="str">
        <v>actual(**)</v>
      </c>
      <c r="M66" s="6" t="str">
        <v>DNDF [-40C]</v>
      </c>
      <c r="N66" s="10" t="str">
        <v>MSU</v>
      </c>
      <c r="O66" s="435">
        <v>366</v>
      </c>
      <c r="P66" s="428">
        <v>45139</v>
      </c>
      <c r="Q66" s="429" t="str">
        <v>MSU - PTH</v>
      </c>
      <c r="R66" s="428">
        <v>45505</v>
      </c>
      <c r="S66" s="431" t="str">
        <v>Truck</v>
      </c>
      <c r="T66" s="431" t="str">
        <v>PTH - CHC</v>
      </c>
      <c r="U66" s="431" t="str">
        <v>-</v>
      </c>
      <c r="V66" s="433" t="str">
        <v>ComSur</v>
      </c>
      <c r="W66" s="433" t="str">
        <v>CHC - MCM</v>
      </c>
      <c r="X66" s="433" t="str">
        <v>-</v>
      </c>
      <c r="Y66" s="435" t="str">
        <v>USAP Air</v>
      </c>
      <c r="Z66" s="434">
        <v>45597</v>
      </c>
      <c r="AA66" s="427" t="str">
        <v>-</v>
      </c>
      <c r="AB66" s="435" t="str">
        <v>LC-130</v>
      </c>
      <c r="AC66" s="409">
        <v>45621</v>
      </c>
      <c r="AD66" s="409" t="str">
        <v>Yes</v>
      </c>
      <c r="AE66" s="409" t="str">
        <v>FY25 inter</v>
      </c>
      <c r="AF66" s="409" t="str">
        <v>FY25 intra</v>
      </c>
      <c r="AG66" s="409" t="str">
        <v>T. Karg</v>
      </c>
      <c r="AH66" s="409">
        <v>44459</v>
      </c>
      <c r="AI66" s="409" t="str">
        <v>D. Tosi</v>
      </c>
      <c r="AJ66" s="409">
        <v>44461</v>
      </c>
      <c r="AK66" s="409" t="str">
        <v>Assume 2x20HC containers for transport on COMSUR (TBC). Pallets could be loaded to 53 ft truck and loaded into a loaned container in PTH but this would increase touch points (and risk)</v>
      </c>
      <c r="AL66" s="9"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ht="21.6" hidden="1" customHeight="1" thickTop="1">
      <c r="A68" s="25">
        <v>1.3</v>
      </c>
      <c r="B68" s="48" t="str">
        <v>Installation</v>
      </c>
      <c r="C68" s="3" t="str">
        <v>DM-Ice</v>
      </c>
      <c r="D68" s="3" t="str">
        <v>DM-ice (two modules for string 89 and 90) - Do Not Deep Freeze</v>
      </c>
      <c r="E68" s="23">
        <v>48</v>
      </c>
      <c r="F68" s="23">
        <v>48</v>
      </c>
      <c r="G68" s="23">
        <v>48</v>
      </c>
      <c r="H68" s="23">
        <v>1</v>
      </c>
      <c r="I68" s="4">
        <v>64</v>
      </c>
      <c r="J68" s="4">
        <v>1500</v>
      </c>
      <c r="K68" s="4">
        <v>1500</v>
      </c>
      <c r="L68" s="445" t="str">
        <v>estimated</v>
      </c>
      <c r="M68" s="6" t="str">
        <v>DNDF [-40C]</v>
      </c>
      <c r="N68" s="10" t="str">
        <v>Yale</v>
      </c>
      <c r="O68" s="435">
        <v>61</v>
      </c>
      <c r="P68" s="428">
        <v>45444</v>
      </c>
      <c r="Q68" s="429" t="str">
        <v>Yale - PTH</v>
      </c>
      <c r="R68" s="428">
        <v>45505</v>
      </c>
      <c r="S68" s="431" t="str">
        <v>Truck</v>
      </c>
      <c r="T68" s="431" t="str">
        <v>PTH - CHC</v>
      </c>
      <c r="U68" s="431" t="str">
        <v>-</v>
      </c>
      <c r="V68" s="433" t="str">
        <v>ComSur</v>
      </c>
      <c r="W68" s="433" t="str">
        <v>CHC - MCM</v>
      </c>
      <c r="X68" s="433" t="str">
        <v>-</v>
      </c>
      <c r="Y68" s="435" t="str">
        <v>USAP Air</v>
      </c>
      <c r="Z68" s="434">
        <v>45597</v>
      </c>
      <c r="AA68" s="427" t="str">
        <v>-</v>
      </c>
      <c r="AB68" s="435" t="str">
        <v>LC-130</v>
      </c>
      <c r="AC68" s="409">
        <v>45621</v>
      </c>
      <c r="AD68" s="409" t="str">
        <v>Yes</v>
      </c>
      <c r="AE68" s="409" t="str">
        <v>FY25 inter</v>
      </c>
      <c r="AF68" s="409" t="str">
        <v>FY25 intra</v>
      </c>
      <c r="AG68" s="409" t="str">
        <v>M. Kauer</v>
      </c>
      <c r="AH68" s="409">
        <v>44459</v>
      </c>
      <c r="AI68" s="409" t="str">
        <v>D. Tosi</v>
      </c>
      <c r="AJ68" s="409">
        <v>44459</v>
      </c>
      <c r="AK68" s="409" t="str">
        <v/>
      </c>
      <c r="AL68" s="9"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ht="68.099999999999994" hidden="1">
      <c r="A70" s="25">
        <v>1.3</v>
      </c>
      <c r="B70" s="48" t="str">
        <v>Installation</v>
      </c>
      <c r="C70" s="3" t="str">
        <v>String Sensors 87-88</v>
      </c>
      <c r="D70" s="3" t="str">
        <v>Optical sensors for 2 strings from Germany (mDOMs) (spares included) - Do Not Deep Freeze</v>
      </c>
      <c r="E70" s="23">
        <v>40</v>
      </c>
      <c r="F70" s="23">
        <v>48</v>
      </c>
      <c r="G70" s="445">
        <v>46</v>
      </c>
      <c r="H70" s="23">
        <v>16</v>
      </c>
      <c r="I70" s="4">
        <v>817.77777777777783</v>
      </c>
      <c r="J70" s="4">
        <v>573</v>
      </c>
      <c r="K70" s="4">
        <v>9168</v>
      </c>
      <c r="L70" s="445" t="str">
        <v>actual</v>
      </c>
      <c r="M70" s="6" t="str">
        <v>DNDF [-40C]</v>
      </c>
      <c r="N70" s="10" t="str">
        <v>DESY</v>
      </c>
      <c r="O70" s="435">
        <v>122</v>
      </c>
      <c r="P70" s="428">
        <v>45017</v>
      </c>
      <c r="Q70" s="429" t="str">
        <v>DESY - CHC</v>
      </c>
      <c r="R70" s="428">
        <v>45139</v>
      </c>
      <c r="S70" s="431" t="str">
        <v>ComSur</v>
      </c>
      <c r="T70" s="431" t="str">
        <v>DESY-CHC</v>
      </c>
      <c r="U70" s="431" t="str">
        <v>-</v>
      </c>
      <c r="V70" s="433" t="str">
        <v>ComSur</v>
      </c>
      <c r="W70" s="433" t="str">
        <v>CHC - MCM</v>
      </c>
      <c r="X70" s="433" t="str">
        <v>-</v>
      </c>
      <c r="Y70" s="435" t="str">
        <v>USAP  Air</v>
      </c>
      <c r="Z70" s="434">
        <v>45231</v>
      </c>
      <c r="AA70" s="427" t="str">
        <v>-</v>
      </c>
      <c r="AB70" s="435" t="str">
        <v>LC-130</v>
      </c>
      <c r="AC70" s="409">
        <v>45306</v>
      </c>
      <c r="AD70" s="409" t="str">
        <v>Yes</v>
      </c>
      <c r="AE70" s="409" t="str">
        <v>FY24 inter</v>
      </c>
      <c r="AF70" s="409" t="str">
        <v>FY24 intra</v>
      </c>
      <c r="AG70" s="409" t="str">
        <v>T. Karg</v>
      </c>
      <c r="AH70" s="409">
        <v>44459</v>
      </c>
      <c r="AI70" s="409" t="str">
        <v>D. Tosi</v>
      </c>
      <c r="AJ70" s="409">
        <v>44461</v>
      </c>
      <c r="AK70" s="409" t="str">
        <v>mDOM weight is 62 lbs (25kg/sensor + 3 kg/box) + 35kg pallet, assume 8 mDOMs/pallet - 116 to be deployed + 12 spares - 
shipped in 20 HC container. Container weight not included in the assumption that pallet will be taken out in CHC.</v>
      </c>
      <c r="AL70" s="9" t="str">
        <v/>
      </c>
    </row>
    <row r="71" spans="1:40" ht="68.099999999999994" hidden="1">
      <c r="A71" s="25">
        <v>1.3</v>
      </c>
      <c r="B71" s="48" t="str">
        <v>Installation</v>
      </c>
      <c r="C71" s="3" t="str">
        <v>String Sensors 87-88</v>
      </c>
      <c r="D71" s="3" t="str">
        <v>Optical sensors for 2 strings from Germany (mDOMs) (SPARES) - Do Not Deep Freeze</v>
      </c>
      <c r="E71" s="23">
        <v>40</v>
      </c>
      <c r="F71" s="23">
        <v>48</v>
      </c>
      <c r="G71" s="445">
        <v>46</v>
      </c>
      <c r="H71" s="23">
        <v>0</v>
      </c>
      <c r="I71" s="4">
        <v>0</v>
      </c>
      <c r="J71" s="4">
        <v>573</v>
      </c>
      <c r="K71" s="4">
        <v>0</v>
      </c>
      <c r="L71" s="445" t="str">
        <v>actual</v>
      </c>
      <c r="M71" s="6" t="str">
        <v>DNDF [-40C]</v>
      </c>
      <c r="N71" s="10" t="str">
        <v>DESY</v>
      </c>
      <c r="O71" s="435">
        <v>122</v>
      </c>
      <c r="P71" s="428">
        <v>45017</v>
      </c>
      <c r="Q71" s="429" t="str">
        <v>DESY - CHC</v>
      </c>
      <c r="R71" s="428">
        <v>45139</v>
      </c>
      <c r="S71" s="431" t="str">
        <v>ComSur</v>
      </c>
      <c r="T71" s="431" t="str">
        <v>DESY-CHC</v>
      </c>
      <c r="U71" s="431" t="str">
        <v>-</v>
      </c>
      <c r="V71" s="433" t="str">
        <v>ComSur</v>
      </c>
      <c r="W71" s="433" t="str">
        <v>CHC - MCM</v>
      </c>
      <c r="X71" s="433" t="str">
        <v>-</v>
      </c>
      <c r="Y71" s="435" t="str">
        <v>USAP  Air</v>
      </c>
      <c r="Z71" s="434">
        <v>45231</v>
      </c>
      <c r="AA71" s="427" t="str">
        <v>-</v>
      </c>
      <c r="AB71" s="435" t="str">
        <v>LC-130</v>
      </c>
      <c r="AC71" s="409">
        <v>45306</v>
      </c>
      <c r="AD71" s="409" t="str">
        <v>Yes</v>
      </c>
      <c r="AE71" s="409" t="str">
        <v>FY24 inter</v>
      </c>
      <c r="AF71" s="409" t="str">
        <v>FY24 intra</v>
      </c>
      <c r="AG71" s="409" t="str">
        <v>T. Karg</v>
      </c>
      <c r="AH71" s="409">
        <v>44459</v>
      </c>
      <c r="AI71" s="409" t="str">
        <v>D. Tosi</v>
      </c>
      <c r="AJ71" s="409">
        <v>44461</v>
      </c>
      <c r="AK71" s="409" t="str">
        <v>mDOM weight is 62 lbs (25kg/sensor + 3 kg/box) + 35kg pallet, assume 8 mDOMs/pallet - shipped in 20 HC container. Container weight not included in the assumption that pallet will be taken out in CHC.</v>
      </c>
      <c r="AL71" s="9" t="str">
        <v/>
      </c>
    </row>
    <row r="72" spans="1:40" ht="33.950000000000003" hidden="1">
      <c r="A72" s="25">
        <v>1.3</v>
      </c>
      <c r="B72" s="48" t="str">
        <v>Installation</v>
      </c>
      <c r="C72" s="3" t="str">
        <v>Special Devices 87-88</v>
      </c>
      <c r="D72" s="3" t="str">
        <v>Special devices for 2 strings from DESY/Germany/Sweden (8 WOMs, 0 Abalone) + spares - Do Not Deep Freeze</v>
      </c>
      <c r="E72" s="23">
        <v>40</v>
      </c>
      <c r="F72" s="23">
        <v>21</v>
      </c>
      <c r="G72" s="23">
        <v>64</v>
      </c>
      <c r="H72" s="23">
        <v>1</v>
      </c>
      <c r="I72" s="4">
        <v>31.111111111111111</v>
      </c>
      <c r="J72" s="4">
        <v>701</v>
      </c>
      <c r="K72" s="4">
        <v>701</v>
      </c>
      <c r="L72" s="445" t="str">
        <v>estimated</v>
      </c>
      <c r="M72" s="38" t="str">
        <v>DNDF [-40C]</v>
      </c>
      <c r="N72" s="10" t="str">
        <v>Mainz</v>
      </c>
      <c r="O72" s="435">
        <v>212</v>
      </c>
      <c r="P72" s="428">
        <v>44927</v>
      </c>
      <c r="Q72" s="429" t="str">
        <v>DESY - CHC</v>
      </c>
      <c r="R72" s="428">
        <v>45139</v>
      </c>
      <c r="S72" s="431" t="str">
        <v>ComSur</v>
      </c>
      <c r="T72" s="431" t="str">
        <v>DESY-CHC</v>
      </c>
      <c r="U72" s="431" t="str">
        <v>-</v>
      </c>
      <c r="V72" s="433" t="str">
        <v>ComSur</v>
      </c>
      <c r="W72" s="433" t="str">
        <v>CHC - MCM</v>
      </c>
      <c r="X72" s="433" t="str">
        <v>-</v>
      </c>
      <c r="Y72" s="435" t="str">
        <v>USAP  Air</v>
      </c>
      <c r="Z72" s="434">
        <v>45231</v>
      </c>
      <c r="AA72" s="427" t="str">
        <v>-</v>
      </c>
      <c r="AB72" s="435" t="str">
        <v>LC-130</v>
      </c>
      <c r="AC72" s="409">
        <v>45306</v>
      </c>
      <c r="AD72" s="409" t="str">
        <v>Yes</v>
      </c>
      <c r="AE72" s="409" t="str">
        <v>FY24 inter</v>
      </c>
      <c r="AF72" s="409" t="str">
        <v>FY24 intra</v>
      </c>
      <c r="AG72" s="409" t="str">
        <v>S. Boeser</v>
      </c>
      <c r="AH72" s="409">
        <v>44482</v>
      </c>
      <c r="AI72" s="409" t="str">
        <v>D. Tosi</v>
      </c>
      <c r="AJ72" s="409">
        <v>44482</v>
      </c>
      <c r="AK72" s="409" t="str">
        <v xml:space="preserve">8 WOMs (no spares) - AH not included for now. Assume 150 lbs crate.  </v>
      </c>
      <c r="AL72" s="9" t="str">
        <v/>
      </c>
    </row>
    <row r="73" spans="1:40" ht="33.950000000000003" hidden="1">
      <c r="A73" s="25">
        <v>1.5</v>
      </c>
      <c r="B73" s="48" t="str">
        <v>Installation</v>
      </c>
      <c r="C73" s="3" t="str">
        <v>Calibration Devices 87-88</v>
      </c>
      <c r="D73" s="3" t="str">
        <v>Calibration devices for 2 strings from DESY/Germany/Sweden (4+2 POCAMs, 3+1 Acoustic sensors,  2+1 Swedish Cameras) - Do Not Deep Freeze</v>
      </c>
      <c r="E73" s="92">
        <v>62</v>
      </c>
      <c r="F73" s="92">
        <v>38</v>
      </c>
      <c r="G73" s="92">
        <v>41</v>
      </c>
      <c r="H73" s="23">
        <v>1</v>
      </c>
      <c r="I73" s="4">
        <v>55.900462962962962</v>
      </c>
      <c r="J73" s="4">
        <v>836</v>
      </c>
      <c r="K73" s="4">
        <v>836</v>
      </c>
      <c r="L73" s="445" t="str">
        <v>estimated</v>
      </c>
      <c r="M73" s="6" t="str">
        <v>DNDF [-40C]</v>
      </c>
      <c r="N73" s="10" t="str">
        <v>TUM/Aachen/Sweden</v>
      </c>
      <c r="O73" s="435">
        <v>426</v>
      </c>
      <c r="P73" s="428">
        <v>44713</v>
      </c>
      <c r="Q73" s="429" t="str">
        <v>DESY - CHC</v>
      </c>
      <c r="R73" s="428">
        <v>45139</v>
      </c>
      <c r="S73" s="431" t="str">
        <v>ComSur</v>
      </c>
      <c r="T73" s="431" t="str">
        <v>DESY-CHC</v>
      </c>
      <c r="U73" s="431" t="str">
        <v>-</v>
      </c>
      <c r="V73" s="433" t="str">
        <v>ComSur</v>
      </c>
      <c r="W73" s="433" t="str">
        <v>CHC-MCM</v>
      </c>
      <c r="X73" s="433" t="str">
        <v>-</v>
      </c>
      <c r="Y73" s="435" t="str">
        <v>USAP  Air</v>
      </c>
      <c r="Z73" s="434">
        <v>45231</v>
      </c>
      <c r="AA73" s="427" t="str">
        <v>-</v>
      </c>
      <c r="AB73" s="435" t="str">
        <v>LC-130</v>
      </c>
      <c r="AC73" s="409">
        <v>45306</v>
      </c>
      <c r="AD73" s="409" t="str">
        <v>Yes</v>
      </c>
      <c r="AE73" s="409" t="str">
        <v>FY24 inter</v>
      </c>
      <c r="AF73" s="409" t="str">
        <v>FY24 intra</v>
      </c>
      <c r="AG73" s="409" t="str">
        <v>D. Williams</v>
      </c>
      <c r="AH73" s="409">
        <v>44482</v>
      </c>
      <c r="AI73" s="409" t="str">
        <v>D. Tosi</v>
      </c>
      <c r="AJ73" s="409">
        <v>44482</v>
      </c>
      <c r="AK73" s="409" t="str">
        <v>Calibration devices for strings 87-88 = 2+1 Sweden Camera + 3+1 Acoustic Module + 4+1 POCAM, including spares, 200 lbs crate</v>
      </c>
      <c r="AL73" s="9" t="str">
        <v/>
      </c>
    </row>
    <row r="74" spans="1:40" ht="33.950000000000003" hidden="1">
      <c r="A74" s="35">
        <v>1.4</v>
      </c>
      <c r="B74" s="51" t="str">
        <v>Installation</v>
      </c>
      <c r="C74" s="20" t="str">
        <v>FieldHub electronics</v>
      </c>
      <c r="D74" s="1" t="str">
        <v>Required onsite for FY24 installation. 1 crate containing readout electronics for installation in ICL - Do Not Freeze</v>
      </c>
      <c r="E74" s="36">
        <v>48</v>
      </c>
      <c r="F74" s="36">
        <v>48</v>
      </c>
      <c r="G74" s="36">
        <v>36</v>
      </c>
      <c r="H74" s="23">
        <v>1</v>
      </c>
      <c r="I74" s="4">
        <v>48</v>
      </c>
      <c r="J74" s="4">
        <v>275</v>
      </c>
      <c r="K74" s="4">
        <v>275</v>
      </c>
      <c r="L74" s="445" t="str">
        <v>preliminary</v>
      </c>
      <c r="M74" s="8" t="str">
        <v>DNF</v>
      </c>
      <c r="N74" s="427" t="str">
        <v>DESY</v>
      </c>
      <c r="O74" s="435">
        <v>14</v>
      </c>
      <c r="P74" s="428">
        <v>45139</v>
      </c>
      <c r="Q74" s="429" t="str">
        <v>DESY - CHC</v>
      </c>
      <c r="R74" s="428">
        <v>45153</v>
      </c>
      <c r="S74" s="431" t="str">
        <v>ComSur</v>
      </c>
      <c r="T74" s="431" t="str">
        <v>DESY-CHC</v>
      </c>
      <c r="U74" s="431" t="str">
        <v>-</v>
      </c>
      <c r="V74" s="433" t="str">
        <v>ComSur</v>
      </c>
      <c r="W74" s="433" t="str">
        <v>CHC-MCM</v>
      </c>
      <c r="X74" s="433" t="str">
        <v>-</v>
      </c>
      <c r="Y74" s="435" t="str">
        <v>USAP  Air</v>
      </c>
      <c r="Z74" s="434">
        <v>45231</v>
      </c>
      <c r="AA74" s="427" t="str">
        <v>-</v>
      </c>
      <c r="AB74" s="435" t="str">
        <v>LC-130</v>
      </c>
      <c r="AC74" s="409">
        <v>45261</v>
      </c>
      <c r="AD74" s="409" t="str">
        <v>No</v>
      </c>
      <c r="AE74" s="409" t="str">
        <v>FY24 inter</v>
      </c>
      <c r="AF74" s="409" t="str">
        <v>FY24 intra</v>
      </c>
      <c r="AG74" s="409" t="str">
        <v>J. Kelley</v>
      </c>
      <c r="AH74" s="409">
        <v>44482</v>
      </c>
      <c r="AI74" s="409" t="str">
        <v>D. Tosi</v>
      </c>
      <c r="AJ74" s="409">
        <v>44482</v>
      </c>
      <c r="AK74" s="409" t="str">
        <v>Field Hubs are 442mm x 480mm x 133 mm (17.4" x 18.9" x 5.2") and weight maybe 10 lb each.  100 lbs crate. Ready to ship date actually chosen to be 2 weeks ahead of ship date to maximize time with the electronics (sort of backloaded)</v>
      </c>
      <c r="AL74" s="9" t="str">
        <v/>
      </c>
    </row>
    <row r="75" spans="1:40" ht="68.099999999999994" hidden="1">
      <c r="A75" s="25">
        <v>1.3</v>
      </c>
      <c r="B75" s="48" t="str">
        <v>Installation</v>
      </c>
      <c r="C75" s="3" t="str">
        <v>String Sensors 89-93</v>
      </c>
      <c r="D75" s="3" t="str">
        <v>Optical sensors for 5 strings from Germany (mDOMs) - Do Not Deep Freeze</v>
      </c>
      <c r="E75" s="23">
        <v>40</v>
      </c>
      <c r="F75" s="23">
        <v>48</v>
      </c>
      <c r="G75" s="445">
        <v>46</v>
      </c>
      <c r="H75" s="23">
        <v>12</v>
      </c>
      <c r="I75" s="4">
        <v>613.33333333333337</v>
      </c>
      <c r="J75" s="4">
        <v>573</v>
      </c>
      <c r="K75" s="4">
        <v>6876</v>
      </c>
      <c r="L75" s="445" t="str">
        <v>actual(**)</v>
      </c>
      <c r="M75" s="6" t="str">
        <v>DNDF [-40C]</v>
      </c>
      <c r="N75" s="10" t="str">
        <v>DESY</v>
      </c>
      <c r="O75" s="435">
        <v>397</v>
      </c>
      <c r="P75" s="428">
        <v>45108</v>
      </c>
      <c r="Q75" s="429" t="str">
        <v>DESY - CHC</v>
      </c>
      <c r="R75" s="428">
        <v>45505</v>
      </c>
      <c r="S75" s="431" t="str">
        <v>ComSur</v>
      </c>
      <c r="T75" s="431" t="str">
        <v>DESY-CHC</v>
      </c>
      <c r="U75" s="431" t="str">
        <v>-</v>
      </c>
      <c r="V75" s="433" t="str">
        <v>ComSur</v>
      </c>
      <c r="W75" s="433" t="str">
        <v>CHC - MCM</v>
      </c>
      <c r="X75" s="433" t="str">
        <v>-</v>
      </c>
      <c r="Y75" s="435" t="str">
        <v>USAP  Air</v>
      </c>
      <c r="Z75" s="434">
        <v>45597</v>
      </c>
      <c r="AA75" s="427" t="str">
        <v>-</v>
      </c>
      <c r="AB75" s="435" t="str">
        <v>LC-130</v>
      </c>
      <c r="AC75" s="409">
        <v>45621</v>
      </c>
      <c r="AD75" s="409" t="str">
        <v>Yes</v>
      </c>
      <c r="AE75" s="409" t="str">
        <v>FY25 inter</v>
      </c>
      <c r="AF75" s="409" t="str">
        <v>FY25 intra</v>
      </c>
      <c r="AG75" s="409" t="str">
        <v>T. Karg</v>
      </c>
      <c r="AH75" s="409">
        <v>44459</v>
      </c>
      <c r="AI75" s="409" t="str">
        <v>D. Tosi</v>
      </c>
      <c r="AJ75" s="409">
        <v>44461</v>
      </c>
      <c r="AK75" s="409" t="str">
        <v>mDOM weight is (28kg/sensor boxed) + 35kg pallet, assume 8 mDOMs/pallet - 190 to be deployed + 10 spares. (**) shipped in 20 HC container. Container not included in weight as pallets will be taken out.</v>
      </c>
      <c r="AL75" s="9" t="str">
        <v/>
      </c>
    </row>
    <row r="76" spans="1:40" ht="33.950000000000003" hidden="1">
      <c r="A76" s="25">
        <v>1.3</v>
      </c>
      <c r="B76" s="48" t="str">
        <v>Installation</v>
      </c>
      <c r="C76" s="3" t="str">
        <v>Special Devices 89-93</v>
      </c>
      <c r="D76" s="3" t="str">
        <v>Special devices for 5 remaining strings from DESY/Germany/Sweden (6 WOMs,  3 Abalone Hubs or WOM Traps)  no spares - Do Not Deep Freeze</v>
      </c>
      <c r="E76" s="23">
        <v>32</v>
      </c>
      <c r="F76" s="23">
        <v>31</v>
      </c>
      <c r="G76" s="23">
        <v>89</v>
      </c>
      <c r="H76" s="23">
        <v>1</v>
      </c>
      <c r="I76" s="4">
        <v>51.092592592592595</v>
      </c>
      <c r="J76" s="4">
        <v>1035</v>
      </c>
      <c r="K76" s="4">
        <v>1035</v>
      </c>
      <c r="L76" s="445" t="str">
        <v>preliminary</v>
      </c>
      <c r="M76" s="38" t="str">
        <v>DNDF [-40C]</v>
      </c>
      <c r="N76" s="10" t="str">
        <v>Mainz</v>
      </c>
      <c r="O76" s="435">
        <v>213</v>
      </c>
      <c r="P76" s="428">
        <v>45292</v>
      </c>
      <c r="Q76" s="429" t="str">
        <v>DESY - CHC</v>
      </c>
      <c r="R76" s="428">
        <v>45505</v>
      </c>
      <c r="S76" s="431" t="str">
        <v>ComSur</v>
      </c>
      <c r="T76" s="431" t="str">
        <v>DESY-CHC</v>
      </c>
      <c r="U76" s="431" t="str">
        <v>-</v>
      </c>
      <c r="V76" s="433" t="str">
        <v>ComSur</v>
      </c>
      <c r="W76" s="433" t="str">
        <v>CHC - MCM</v>
      </c>
      <c r="X76" s="433" t="str">
        <v>-</v>
      </c>
      <c r="Y76" s="435" t="str">
        <v>USAP  Air</v>
      </c>
      <c r="Z76" s="434">
        <v>45597</v>
      </c>
      <c r="AA76" s="427" t="str">
        <v>-</v>
      </c>
      <c r="AB76" s="435" t="str">
        <v>LC-130</v>
      </c>
      <c r="AC76" s="409">
        <v>45621</v>
      </c>
      <c r="AD76" s="409" t="str">
        <v>Yes</v>
      </c>
      <c r="AE76" s="409" t="str">
        <v>FY25 inter</v>
      </c>
      <c r="AF76" s="409" t="str">
        <v>FY25 intra</v>
      </c>
      <c r="AG76" s="409" t="str">
        <v>S. Boeser</v>
      </c>
      <c r="AH76" s="409">
        <v>44482</v>
      </c>
      <c r="AI76" s="409" t="str">
        <v>D. Tosi</v>
      </c>
      <c r="AJ76" s="409">
        <v>44482</v>
      </c>
      <c r="AK76" s="409" t="str">
        <v>6 Special Devices from Germany 6 (WOM + 0 AH) including 0 spare for each. Assume 170 lbs crate.</v>
      </c>
      <c r="AL76" s="9" t="str">
        <v/>
      </c>
    </row>
    <row r="77" spans="1:40" ht="50.25" hidden="1" customHeight="1">
      <c r="A77" s="25">
        <v>1.5</v>
      </c>
      <c r="B77" s="48" t="str">
        <v>Installation</v>
      </c>
      <c r="C77" s="3" t="str">
        <v>Calibration Devices 89-93</v>
      </c>
      <c r="D77" s="3" t="str">
        <v>Calibration for 5 strings from DESY/Germany/Sweden (17+2 POCAMs, 7+ 1 Acoustic sensors,  3+ 1 Swedish Cameras) including spares - Do Not Deep Freeze</v>
      </c>
      <c r="E77" s="92">
        <v>62</v>
      </c>
      <c r="F77" s="92">
        <v>48</v>
      </c>
      <c r="G77" s="92">
        <v>44</v>
      </c>
      <c r="H77" s="23">
        <v>1</v>
      </c>
      <c r="I77" s="4">
        <v>75.777777777777771</v>
      </c>
      <c r="J77" s="4">
        <v>1694</v>
      </c>
      <c r="K77" s="4">
        <v>1694</v>
      </c>
      <c r="L77" s="445" t="str">
        <v>preliminary</v>
      </c>
      <c r="M77" s="6" t="str">
        <v>DNDF [-40C]</v>
      </c>
      <c r="N77" s="10" t="str">
        <v>TUM/Aachen/Sweden</v>
      </c>
      <c r="O77" s="435">
        <v>792</v>
      </c>
      <c r="P77" s="428">
        <v>44713</v>
      </c>
      <c r="Q77" s="429" t="str">
        <v>DESY - CHC</v>
      </c>
      <c r="R77" s="428">
        <v>45505</v>
      </c>
      <c r="S77" s="431" t="str">
        <v>ComSur</v>
      </c>
      <c r="T77" s="431" t="str">
        <v>DESY-CHC</v>
      </c>
      <c r="U77" s="431" t="str">
        <v>-</v>
      </c>
      <c r="V77" s="433" t="str">
        <v>ComSur</v>
      </c>
      <c r="W77" s="433" t="str">
        <v>CHC-MCM</v>
      </c>
      <c r="X77" s="433" t="str">
        <v>-</v>
      </c>
      <c r="Y77" s="435" t="str">
        <v>USAP  Air</v>
      </c>
      <c r="Z77" s="434">
        <v>45597</v>
      </c>
      <c r="AA77" s="427" t="str">
        <v>-</v>
      </c>
      <c r="AB77" s="435" t="str">
        <v>LC-130</v>
      </c>
      <c r="AC77" s="409">
        <v>45621</v>
      </c>
      <c r="AD77" s="409" t="str">
        <v>Yes</v>
      </c>
      <c r="AE77" s="409" t="str">
        <v>FY25 inter</v>
      </c>
      <c r="AF77" s="409" t="str">
        <v>FY25 intra</v>
      </c>
      <c r="AG77" s="409" t="str">
        <v>D. Williams</v>
      </c>
      <c r="AH77" s="409">
        <v>44482</v>
      </c>
      <c r="AI77" s="409" t="str">
        <v>D. Tosi</v>
      </c>
      <c r="AJ77" s="409">
        <v>44482</v>
      </c>
      <c r="AK77" s="409" t="str">
        <v>Calibration devices for strings 89-93 = 3+1 Sweden Camera,7+1 + Acoustic Module,17 +1 POCAM, including spares, 200 lbs crate</v>
      </c>
      <c r="AL77" s="9"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ht="51" hidden="1">
      <c r="A79" s="72">
        <v>1.3</v>
      </c>
      <c r="B79" s="48" t="str">
        <v>Installation</v>
      </c>
      <c r="C79" s="1" t="str">
        <v>String Sensors 87 &amp; 88</v>
      </c>
      <c r="D79" s="1" t="str">
        <v>Sensors (D-Eggs) pallets with 8 sensors  at Pole overwinter - Cryo location - Do Not Deep Freeze</v>
      </c>
      <c r="E79" s="38">
        <v>41</v>
      </c>
      <c r="F79" s="38">
        <v>41</v>
      </c>
      <c r="G79" s="38">
        <v>69</v>
      </c>
      <c r="H79" s="38">
        <v>4</v>
      </c>
      <c r="I79" s="4">
        <v>268.49305555555554</v>
      </c>
      <c r="J79" s="4">
        <v>750</v>
      </c>
      <c r="K79" s="4">
        <v>3000</v>
      </c>
      <c r="L79" s="445" t="str">
        <v>actual</v>
      </c>
      <c r="M79" s="6" t="str">
        <v>DNDF [-40C]</v>
      </c>
      <c r="N79" s="10" t="str">
        <v>Chiba</v>
      </c>
      <c r="O79" s="435">
        <v>426</v>
      </c>
      <c r="P79" s="428">
        <v>44713</v>
      </c>
      <c r="Q79" s="429" t="str">
        <v>ChibaU - CHC</v>
      </c>
      <c r="R79" s="428">
        <v>45139</v>
      </c>
      <c r="S79" s="431" t="str">
        <v>Cargo shipment by CHU</v>
      </c>
      <c r="T79" s="431" t="str">
        <v>ChibaU - CHC</v>
      </c>
      <c r="U79" s="431" t="str">
        <v>-</v>
      </c>
      <c r="V79" s="433" t="str">
        <v>ComSur</v>
      </c>
      <c r="W79" s="76" t="str">
        <v>CHC - MCM</v>
      </c>
      <c r="X79" s="433" t="str">
        <v>-</v>
      </c>
      <c r="Y79" s="435" t="str">
        <v>USAP Air</v>
      </c>
      <c r="Z79" s="434">
        <v>45231</v>
      </c>
      <c r="AA79" s="427" t="str">
        <v>-</v>
      </c>
      <c r="AB79" s="435" t="str">
        <v>LC-130</v>
      </c>
      <c r="AC79" s="409">
        <v>45306</v>
      </c>
      <c r="AD79" s="409" t="str">
        <v>Yes</v>
      </c>
      <c r="AE79" s="409" t="str">
        <v>FY24 inter</v>
      </c>
      <c r="AF79" s="409" t="str">
        <v>FY24 intra</v>
      </c>
      <c r="AG79" s="409" t="str">
        <v>S. Yoshida</v>
      </c>
      <c r="AH79" s="409">
        <v>44461</v>
      </c>
      <c r="AI79" s="409" t="str">
        <v>D. Tosi</v>
      </c>
      <c r="AJ79" s="409">
        <v>44461</v>
      </c>
      <c r="AK79" s="409" t="str">
        <v>Pallet sizes are under review. shipped in 20 and 40ft container. Container weight not included in the assumption that pallet will be taken out in CHC.</v>
      </c>
      <c r="AL79" s="9" t="str">
        <v/>
      </c>
    </row>
    <row r="80" spans="1:40" ht="51" hidden="1">
      <c r="A80" s="72">
        <v>1.3</v>
      </c>
      <c r="B80" s="48" t="str">
        <v>Installation</v>
      </c>
      <c r="C80" s="1" t="str">
        <v>String Sensors 87 &amp; 88</v>
      </c>
      <c r="D80" s="1" t="str">
        <v xml:space="preserve">Sensors (D-Eggs) pallets with 8 sensors  at Pole overwinter (SPARES - TBD) - Cryo location - Do Not Deep Freeze </v>
      </c>
      <c r="E80" s="38">
        <v>41</v>
      </c>
      <c r="F80" s="38">
        <v>41</v>
      </c>
      <c r="G80" s="38">
        <v>69</v>
      </c>
      <c r="H80" s="38">
        <v>1</v>
      </c>
      <c r="I80" s="4">
        <v>67.123263888888886</v>
      </c>
      <c r="J80" s="4">
        <v>750</v>
      </c>
      <c r="K80" s="4">
        <v>750</v>
      </c>
      <c r="L80" s="445" t="str">
        <v>actual</v>
      </c>
      <c r="M80" s="6" t="str">
        <v>DNDF [-40C]</v>
      </c>
      <c r="N80" s="10" t="str">
        <v>Chiba</v>
      </c>
      <c r="O80" s="435">
        <v>426</v>
      </c>
      <c r="P80" s="428">
        <v>44713</v>
      </c>
      <c r="Q80" s="429" t="str">
        <v>ChibaU - CHC</v>
      </c>
      <c r="R80" s="428">
        <v>45139</v>
      </c>
      <c r="S80" s="431" t="str">
        <v>Cargo shipment by CHU</v>
      </c>
      <c r="T80" s="431" t="str">
        <v>ChibaU - CHC</v>
      </c>
      <c r="U80" s="431" t="str">
        <v>-</v>
      </c>
      <c r="V80" s="433" t="str">
        <v>ComSur</v>
      </c>
      <c r="W80" s="76" t="str">
        <v>CHC - MCM</v>
      </c>
      <c r="X80" s="433" t="str">
        <v>-</v>
      </c>
      <c r="Y80" s="435" t="str">
        <v>USAP Air</v>
      </c>
      <c r="Z80" s="434">
        <v>45231</v>
      </c>
      <c r="AA80" s="427" t="str">
        <v>-</v>
      </c>
      <c r="AB80" s="435" t="str">
        <v>LC-130</v>
      </c>
      <c r="AC80" s="409">
        <v>45306</v>
      </c>
      <c r="AD80" s="409" t="str">
        <v>Yes</v>
      </c>
      <c r="AE80" s="409" t="str">
        <v>FY24 inter</v>
      </c>
      <c r="AF80" s="409" t="str">
        <v>FY24 intra</v>
      </c>
      <c r="AG80" s="409" t="str">
        <v>S. Yoshida</v>
      </c>
      <c r="AH80" s="409">
        <v>44461</v>
      </c>
      <c r="AI80" s="409" t="str">
        <v>D. Tosi</v>
      </c>
      <c r="AJ80" s="409">
        <v>44461</v>
      </c>
      <c r="AK80" s="409" t="str">
        <v>Pallet sizes are under review. SPARES number to be confirmed.  shipped in 20 and 40ft container. Container weight not included in the assumption that pallet will be taken out in CHC.</v>
      </c>
      <c r="AL80" s="9" t="str">
        <v/>
      </c>
    </row>
    <row r="81" spans="1:40" ht="51" hidden="1">
      <c r="A81" s="72">
        <v>1.3</v>
      </c>
      <c r="B81" s="48" t="str">
        <v>Installation</v>
      </c>
      <c r="C81" s="1" t="str">
        <v>String Sensors 87 &amp; 88</v>
      </c>
      <c r="D81" s="1" t="str">
        <v>Sensors (D-Eggs) pallets with 12 sensors  at Pole overwinter - Cryo location - Do Not Deep Freeze</v>
      </c>
      <c r="E81" s="38">
        <v>60</v>
      </c>
      <c r="F81" s="38">
        <v>41</v>
      </c>
      <c r="G81" s="38">
        <v>69</v>
      </c>
      <c r="H81" s="38">
        <v>4</v>
      </c>
      <c r="I81" s="4">
        <v>392.91666666666669</v>
      </c>
      <c r="J81" s="4">
        <v>1102</v>
      </c>
      <c r="K81" s="4">
        <v>4408</v>
      </c>
      <c r="L81" s="445" t="str">
        <v>actual</v>
      </c>
      <c r="M81" s="6" t="str">
        <v>DNDF [-40C]</v>
      </c>
      <c r="N81" s="10" t="str">
        <v>Chiba</v>
      </c>
      <c r="O81" s="435">
        <v>426</v>
      </c>
      <c r="P81" s="428">
        <v>44713</v>
      </c>
      <c r="Q81" s="429" t="str">
        <v>ChibaU - CHC</v>
      </c>
      <c r="R81" s="428">
        <v>45139</v>
      </c>
      <c r="S81" s="431" t="str">
        <v>Cargo shipment by CHU</v>
      </c>
      <c r="T81" s="431" t="str">
        <v>ChibaU - CHC</v>
      </c>
      <c r="U81" s="431" t="str">
        <v>-</v>
      </c>
      <c r="V81" s="433" t="str">
        <v>ComSur</v>
      </c>
      <c r="W81" s="76" t="str">
        <v>CHC - MCM</v>
      </c>
      <c r="X81" s="433" t="str">
        <v>-</v>
      </c>
      <c r="Y81" s="435" t="str">
        <v>USAP Air</v>
      </c>
      <c r="Z81" s="434">
        <v>45231</v>
      </c>
      <c r="AA81" s="427" t="str">
        <v>-</v>
      </c>
      <c r="AB81" s="435" t="str">
        <v>LC-130</v>
      </c>
      <c r="AC81" s="409">
        <v>45306</v>
      </c>
      <c r="AD81" s="409" t="str">
        <v>Yes</v>
      </c>
      <c r="AE81" s="409" t="str">
        <v>FY24 inter</v>
      </c>
      <c r="AF81" s="409" t="str">
        <v>FY24 intra</v>
      </c>
      <c r="AG81" s="409" t="str">
        <v>S. Yoshida</v>
      </c>
      <c r="AH81" s="409">
        <v>44461</v>
      </c>
      <c r="AI81" s="409" t="str">
        <v>D. Tosi</v>
      </c>
      <c r="AJ81" s="409">
        <v>44461</v>
      </c>
      <c r="AK81" s="409" t="str">
        <v>Pallet sizes are under review. shipped in 20 and 40ft container. Container weight not included in the assumption that pallet will be taken out in CHC.</v>
      </c>
      <c r="AL81" s="9" t="str">
        <v/>
      </c>
    </row>
    <row r="82" spans="1:40" ht="51" hidden="1">
      <c r="A82" s="72">
        <v>1.3</v>
      </c>
      <c r="B82" s="48" t="str">
        <v>Installation</v>
      </c>
      <c r="C82" s="1" t="str">
        <v>String Sensors 87 &amp; 88</v>
      </c>
      <c r="D82" s="1" t="str">
        <v>Sensors (D-Eggs) pallets with 12 sensors  at Pole overwinter (SPARES - TBD)- Cryo location - Do Not Deep Freeze</v>
      </c>
      <c r="E82" s="38">
        <v>60</v>
      </c>
      <c r="F82" s="38">
        <v>41</v>
      </c>
      <c r="G82" s="38">
        <v>69</v>
      </c>
      <c r="H82" s="38">
        <v>1</v>
      </c>
      <c r="I82" s="4">
        <v>98.229166666666671</v>
      </c>
      <c r="J82" s="4">
        <v>1102</v>
      </c>
      <c r="K82" s="4">
        <v>1102</v>
      </c>
      <c r="L82" s="445" t="str">
        <v>actual</v>
      </c>
      <c r="M82" s="6" t="str">
        <v>DNDF [-40C]</v>
      </c>
      <c r="N82" s="10" t="str">
        <v>Chiba</v>
      </c>
      <c r="O82" s="435">
        <v>426</v>
      </c>
      <c r="P82" s="428">
        <v>44713</v>
      </c>
      <c r="Q82" s="429" t="str">
        <v>ChibaU - CHC</v>
      </c>
      <c r="R82" s="428">
        <v>45139</v>
      </c>
      <c r="S82" s="431" t="str">
        <v>Cargo shipment by CHU</v>
      </c>
      <c r="T82" s="431" t="str">
        <v>ChibaU - CHC</v>
      </c>
      <c r="U82" s="431" t="str">
        <v>-</v>
      </c>
      <c r="V82" s="433" t="str">
        <v>ComSur</v>
      </c>
      <c r="W82" s="76" t="str">
        <v>CHC - MCM</v>
      </c>
      <c r="X82" s="433" t="str">
        <v>-</v>
      </c>
      <c r="Y82" s="435" t="str">
        <v>USAP Air</v>
      </c>
      <c r="Z82" s="434">
        <v>45231</v>
      </c>
      <c r="AA82" s="427" t="str">
        <v>-</v>
      </c>
      <c r="AB82" s="435" t="str">
        <v>LC-130</v>
      </c>
      <c r="AC82" s="409">
        <v>45306</v>
      </c>
      <c r="AD82" s="409" t="str">
        <v>Yes</v>
      </c>
      <c r="AE82" s="409" t="str">
        <v>FY24 inter</v>
      </c>
      <c r="AF82" s="409" t="str">
        <v>FY24 intra</v>
      </c>
      <c r="AG82" s="409" t="str">
        <v>S. Yoshida</v>
      </c>
      <c r="AH82" s="409">
        <v>44461</v>
      </c>
      <c r="AI82" s="409" t="str">
        <v>D. Tosi</v>
      </c>
      <c r="AJ82" s="409">
        <v>44461</v>
      </c>
      <c r="AK82" s="409" t="str">
        <v>Pallet sizes are under review. SPARES number to be confirmed. shipped in 20 and 40ft container. Container weight not included in the assumption that pallet will be taken out in CHC.</v>
      </c>
      <c r="AL82" s="9" t="str">
        <v/>
      </c>
    </row>
    <row r="83" spans="1:40" ht="51" hidden="1">
      <c r="A83" s="72">
        <v>1.3</v>
      </c>
      <c r="B83" s="48" t="str">
        <v>Installation</v>
      </c>
      <c r="C83" s="1" t="str">
        <v>String Sensors 89-93</v>
      </c>
      <c r="D83" s="1" t="str">
        <v>Sensors (D-Eggs) pallets with 8 sensors in McMurdo overwinter - Do Not Deep Freeze</v>
      </c>
      <c r="E83" s="38">
        <v>41</v>
      </c>
      <c r="F83" s="38">
        <v>41</v>
      </c>
      <c r="G83" s="38">
        <v>69</v>
      </c>
      <c r="H83" s="38">
        <v>10</v>
      </c>
      <c r="I83" s="4">
        <v>671.23263888888891</v>
      </c>
      <c r="J83" s="4">
        <v>750</v>
      </c>
      <c r="K83" s="4">
        <v>7500</v>
      </c>
      <c r="L83" s="445" t="str">
        <v>actual</v>
      </c>
      <c r="M83" s="6" t="str">
        <v>DNDF [-40C]</v>
      </c>
      <c r="N83" s="10" t="str">
        <v>Chiba</v>
      </c>
      <c r="O83" s="435">
        <v>61</v>
      </c>
      <c r="P83" s="428">
        <v>45078</v>
      </c>
      <c r="Q83" s="429" t="str">
        <v>ChibaU - CHC</v>
      </c>
      <c r="R83" s="428">
        <v>45139</v>
      </c>
      <c r="S83" s="431" t="str">
        <v>Cargo shipment by CHU</v>
      </c>
      <c r="T83" s="431" t="str">
        <v>ChibaU - CHC</v>
      </c>
      <c r="U83" s="431" t="str">
        <v>-</v>
      </c>
      <c r="V83" s="433" t="str">
        <v>ComSur</v>
      </c>
      <c r="W83" s="76" t="str">
        <v>CHC - MCM</v>
      </c>
      <c r="X83" s="433" t="str">
        <v>-</v>
      </c>
      <c r="Y83" s="435" t="str">
        <v>USAP Air</v>
      </c>
      <c r="Z83" s="434">
        <v>45597</v>
      </c>
      <c r="AA83" s="427" t="str">
        <v>-</v>
      </c>
      <c r="AB83" s="435" t="str">
        <v>LC-130</v>
      </c>
      <c r="AC83" s="409">
        <v>45621</v>
      </c>
      <c r="AD83" s="409" t="str">
        <v>Yes</v>
      </c>
      <c r="AE83" s="409" t="str">
        <v>FY25 inter</v>
      </c>
      <c r="AF83" s="409" t="str">
        <v>FY25 intra</v>
      </c>
      <c r="AG83" s="409" t="str">
        <v>S. Yoshida</v>
      </c>
      <c r="AH83" s="409">
        <v>44461</v>
      </c>
      <c r="AI83" s="409" t="str">
        <v>D. Tosi</v>
      </c>
      <c r="AJ83" s="409">
        <v>44461</v>
      </c>
      <c r="AK83" s="409" t="str">
        <v>Pallet sizes are under review. shipped in 20 and 40ft container. Container weight not included in the assumption that pallet will be taken out in CHC.</v>
      </c>
      <c r="AL83" s="9" t="str">
        <v/>
      </c>
    </row>
    <row r="84" spans="1:40" ht="51" hidden="1">
      <c r="A84" s="72">
        <v>1.3</v>
      </c>
      <c r="B84" s="48" t="str">
        <v>Installation</v>
      </c>
      <c r="C84" s="1" t="str">
        <v>String Sensors 89-93</v>
      </c>
      <c r="D84" s="1" t="str">
        <v>Sensors (D-Eggs) pallets with 12 sensors  in McMurdo overwinter - Do Not Deep Freeze</v>
      </c>
      <c r="E84" s="38">
        <v>60</v>
      </c>
      <c r="F84" s="38">
        <v>41</v>
      </c>
      <c r="G84" s="38">
        <v>69</v>
      </c>
      <c r="H84" s="38">
        <v>10</v>
      </c>
      <c r="I84" s="4">
        <v>982.29166666666674</v>
      </c>
      <c r="J84" s="4">
        <v>1102</v>
      </c>
      <c r="K84" s="4">
        <v>11020</v>
      </c>
      <c r="L84" s="445" t="str">
        <v>actual</v>
      </c>
      <c r="M84" s="6" t="str">
        <v>DNDF [-40C]</v>
      </c>
      <c r="N84" s="10" t="str">
        <v>Chiba</v>
      </c>
      <c r="O84" s="435">
        <v>61</v>
      </c>
      <c r="P84" s="428">
        <v>45078</v>
      </c>
      <c r="Q84" s="429" t="str">
        <v>ChibaU - CHC</v>
      </c>
      <c r="R84" s="428">
        <v>45139</v>
      </c>
      <c r="S84" s="431" t="str">
        <v>Cargo shipment by CHU</v>
      </c>
      <c r="T84" s="431" t="str">
        <v>ChibaU - CHC</v>
      </c>
      <c r="U84" s="431" t="str">
        <v>-</v>
      </c>
      <c r="V84" s="433" t="str">
        <v>ComSur</v>
      </c>
      <c r="W84" s="76" t="str">
        <v>CHC - MCM</v>
      </c>
      <c r="X84" s="433" t="str">
        <v>-</v>
      </c>
      <c r="Y84" s="435" t="str">
        <v>USAP Air</v>
      </c>
      <c r="Z84" s="434">
        <v>45597</v>
      </c>
      <c r="AA84" s="427" t="str">
        <v>-</v>
      </c>
      <c r="AB84" s="435" t="str">
        <v>LC-130</v>
      </c>
      <c r="AC84" s="409">
        <v>45621</v>
      </c>
      <c r="AD84" s="409" t="str">
        <v>Yes</v>
      </c>
      <c r="AE84" s="409" t="str">
        <v>FY25 inter</v>
      </c>
      <c r="AF84" s="409" t="str">
        <v>FY25 intra</v>
      </c>
      <c r="AG84" s="409" t="str">
        <v>S. Yoshida</v>
      </c>
      <c r="AH84" s="409">
        <v>44461</v>
      </c>
      <c r="AI84" s="409" t="str">
        <v>D. Tosi</v>
      </c>
      <c r="AJ84" s="409">
        <v>44461</v>
      </c>
      <c r="AK84" s="409" t="str">
        <v>Pallet sizes are under review. shipped in 20 and 40ft container. Container weight not included in the assumption that pallet will be taken out in CHC.</v>
      </c>
      <c r="AL84" s="9"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ht="17.100000000000001">
      <c r="A86" s="72">
        <v>1.2</v>
      </c>
      <c r="B86" s="48" t="str">
        <v>Fuel</v>
      </c>
      <c r="C86" s="1" t="str">
        <v>Field Season 1 Fuel</v>
      </c>
      <c r="D86" s="1" t="str">
        <v>Fuel to support FY23 field season - Base fuel</v>
      </c>
      <c r="E86" s="38" t="str">
        <v/>
      </c>
      <c r="F86" s="38" t="str">
        <v/>
      </c>
      <c r="G86" s="38" t="str">
        <v/>
      </c>
      <c r="H86" s="38">
        <v>3191</v>
      </c>
      <c r="I86" s="450">
        <v>426.57462315454006</v>
      </c>
      <c r="J86" s="450">
        <v>6.8</v>
      </c>
      <c r="K86" s="4">
        <v>21698.799999999999</v>
      </c>
      <c r="L86" s="448" t="str">
        <v>preliminary</v>
      </c>
      <c r="M86" s="40" t="str">
        <v/>
      </c>
      <c r="N86" s="10" t="str">
        <v/>
      </c>
      <c r="O86" s="473" t="str">
        <v/>
      </c>
      <c r="P86" s="429" t="str">
        <v>-</v>
      </c>
      <c r="Q86" s="429" t="str">
        <v>-</v>
      </c>
      <c r="R86" s="429" t="str">
        <v>-</v>
      </c>
      <c r="S86" s="431" t="str">
        <v>-</v>
      </c>
      <c r="T86" s="431" t="str">
        <v>-</v>
      </c>
      <c r="U86" s="431" t="str">
        <v>-</v>
      </c>
      <c r="V86" s="433" t="str">
        <v>-</v>
      </c>
      <c r="W86" s="76" t="str">
        <v>-</v>
      </c>
      <c r="X86" s="433" t="str">
        <v>-</v>
      </c>
      <c r="Y86" s="435" t="str">
        <v>-</v>
      </c>
      <c r="Z86" s="426">
        <v>44866</v>
      </c>
      <c r="AA86" s="427" t="str">
        <v>-</v>
      </c>
      <c r="AB86" s="435" t="str">
        <v>LC-130/SPoT</v>
      </c>
      <c r="AC86" s="435">
        <v>44896</v>
      </c>
      <c r="AD86" s="409" t="str">
        <v>Yes</v>
      </c>
      <c r="AE86" s="409" t="str">
        <v>FY23 inter</v>
      </c>
      <c r="AF86" s="409" t="str">
        <v>FY23 intra</v>
      </c>
      <c r="AG86" s="435" t="str">
        <v>T. Benson</v>
      </c>
      <c r="AH86" s="435">
        <v>44483</v>
      </c>
      <c r="AI86" s="435" t="str">
        <v>I. McEwen</v>
      </c>
      <c r="AJ86" s="435">
        <v>44483</v>
      </c>
      <c r="AK86" s="409" t="str">
        <v/>
      </c>
      <c r="AL86" s="9" t="str">
        <v/>
      </c>
    </row>
    <row r="87" spans="1:40" ht="17.100000000000001">
      <c r="A87" s="72">
        <v>1.2</v>
      </c>
      <c r="B87" s="48" t="str">
        <v/>
      </c>
      <c r="C87" s="1" t="str">
        <v>Field Season 1 Fuel Contingency</v>
      </c>
      <c r="D87" s="1" t="str">
        <v>Fuel to support FY23 field season - Contingency</v>
      </c>
      <c r="E87" s="38" t="str">
        <v/>
      </c>
      <c r="F87" s="38" t="str">
        <v/>
      </c>
      <c r="G87" s="38" t="str">
        <v/>
      </c>
      <c r="H87" s="4">
        <v>452</v>
      </c>
      <c r="I87" s="450">
        <v>60.423606915027293</v>
      </c>
      <c r="J87" s="450">
        <v>6.8</v>
      </c>
      <c r="K87" s="4">
        <v>3073.6</v>
      </c>
      <c r="L87" s="448" t="str">
        <v>preliminary</v>
      </c>
      <c r="M87" s="40" t="str">
        <v/>
      </c>
      <c r="N87" s="10" t="str">
        <v/>
      </c>
      <c r="O87" s="473" t="str">
        <v/>
      </c>
      <c r="P87" s="429" t="str">
        <v>-</v>
      </c>
      <c r="Q87" s="429" t="str">
        <v>-</v>
      </c>
      <c r="R87" s="429" t="str">
        <v>-</v>
      </c>
      <c r="S87" s="431" t="str">
        <v>-</v>
      </c>
      <c r="T87" s="431" t="str">
        <v>-</v>
      </c>
      <c r="U87" s="431" t="str">
        <v>-</v>
      </c>
      <c r="V87" s="433" t="str">
        <v>-</v>
      </c>
      <c r="W87" s="76" t="str">
        <v>-</v>
      </c>
      <c r="X87" s="433" t="str">
        <v>-</v>
      </c>
      <c r="Y87" s="435" t="str">
        <v>-</v>
      </c>
      <c r="Z87" s="426">
        <v>44866</v>
      </c>
      <c r="AA87" s="427" t="str">
        <v>-</v>
      </c>
      <c r="AB87" s="435" t="str">
        <v>LC-130/SPoT</v>
      </c>
      <c r="AC87" s="435">
        <v>44896</v>
      </c>
      <c r="AD87" s="409" t="str">
        <v>Yes</v>
      </c>
      <c r="AE87" s="409" t="str">
        <v>FY23 inter</v>
      </c>
      <c r="AF87" s="409" t="str">
        <v>FY23 intra</v>
      </c>
      <c r="AG87" s="435" t="str">
        <v>T. Benson</v>
      </c>
      <c r="AH87" s="435">
        <v>44483</v>
      </c>
      <c r="AI87" s="435" t="str">
        <v>I. McEwen</v>
      </c>
      <c r="AJ87" s="435">
        <v>44483</v>
      </c>
      <c r="AK87" s="409" t="str">
        <v/>
      </c>
      <c r="AL87" s="9" t="str">
        <v/>
      </c>
    </row>
    <row r="88" spans="1:40" ht="17.100000000000001" hidden="1">
      <c r="A88" s="72">
        <v>1.2</v>
      </c>
      <c r="B88" s="48" t="str">
        <v/>
      </c>
      <c r="C88" s="1" t="str">
        <v>Field Season 2 Fuel</v>
      </c>
      <c r="D88" s="1" t="str">
        <v>Fuel to support FY24 field season - Base fuel, firn drilling &amp; over winter heating</v>
      </c>
      <c r="E88" s="38" t="str">
        <v/>
      </c>
      <c r="F88" s="38" t="str">
        <v/>
      </c>
      <c r="G88" s="38" t="str">
        <v/>
      </c>
      <c r="H88" s="40">
        <v>18178</v>
      </c>
      <c r="I88" s="61">
        <v>2430.0449701357657</v>
      </c>
      <c r="J88" s="61">
        <v>6.8</v>
      </c>
      <c r="K88" s="4">
        <v>123610.4</v>
      </c>
      <c r="L88" s="103" t="str">
        <v>preliminary</v>
      </c>
      <c r="M88" s="40" t="str">
        <v/>
      </c>
      <c r="N88" s="10" t="str">
        <v/>
      </c>
      <c r="O88" s="435" t="str">
        <v/>
      </c>
      <c r="P88" s="428" t="str">
        <v>-</v>
      </c>
      <c r="Q88" s="429" t="str">
        <v>-</v>
      </c>
      <c r="R88" s="428" t="str">
        <v>-</v>
      </c>
      <c r="S88" s="431" t="str">
        <v>-</v>
      </c>
      <c r="T88" s="431" t="str">
        <v>-</v>
      </c>
      <c r="U88" s="431" t="str">
        <v>-</v>
      </c>
      <c r="V88" s="433" t="str">
        <v>-</v>
      </c>
      <c r="W88" s="76" t="str">
        <v>-</v>
      </c>
      <c r="X88" s="433" t="str">
        <v>-</v>
      </c>
      <c r="Y88" s="435" t="str">
        <v>-</v>
      </c>
      <c r="Z88" s="434">
        <v>45231</v>
      </c>
      <c r="AA88" s="427" t="str">
        <v>-</v>
      </c>
      <c r="AB88" s="435" t="str">
        <v>LC-130/SPoT</v>
      </c>
      <c r="AC88" s="409">
        <v>45261</v>
      </c>
      <c r="AD88" s="409" t="str">
        <v>Yes</v>
      </c>
      <c r="AE88" s="409" t="str">
        <v>FY24 inter</v>
      </c>
      <c r="AF88" s="409" t="str">
        <v>FY24 intra</v>
      </c>
      <c r="AG88" s="409" t="str">
        <v>T. Benson</v>
      </c>
      <c r="AH88" s="409">
        <v>44483</v>
      </c>
      <c r="AI88" s="409" t="str">
        <v>I. McEwen</v>
      </c>
      <c r="AJ88" s="409">
        <v>44483</v>
      </c>
      <c r="AK88" s="409" t="str">
        <v/>
      </c>
      <c r="AL88" s="9" t="str">
        <v/>
      </c>
    </row>
    <row r="89" spans="1:40" s="91" customFormat="1" ht="21" hidden="1" customHeight="1" thickBot="1">
      <c r="A89" s="53">
        <v>1.2</v>
      </c>
      <c r="B89" s="53" t="str">
        <v/>
      </c>
      <c r="C89" s="54" t="str">
        <v>Field Season 2 Fuel Contingency</v>
      </c>
      <c r="D89" s="55" t="str">
        <v>Fuel to suppport FY24 field season - Contingency</v>
      </c>
      <c r="E89" s="44" t="str">
        <v/>
      </c>
      <c r="F89" s="44" t="str">
        <v/>
      </c>
      <c r="G89" s="44" t="str">
        <v/>
      </c>
      <c r="H89" s="56">
        <v>2373</v>
      </c>
      <c r="I89" s="57">
        <v>317.22393630389331</v>
      </c>
      <c r="J89" s="57">
        <v>6.8</v>
      </c>
      <c r="K89" s="58">
        <v>16136.4</v>
      </c>
      <c r="L89" s="58" t="str">
        <v>preliminary</v>
      </c>
      <c r="M89" s="58" t="str">
        <v/>
      </c>
      <c r="N89" s="58" t="str">
        <v/>
      </c>
      <c r="O89" s="77" t="str">
        <v/>
      </c>
      <c r="P89" s="59" t="str">
        <v>-</v>
      </c>
      <c r="Q89" s="77" t="str">
        <v>-</v>
      </c>
      <c r="R89" s="60" t="str">
        <v>-</v>
      </c>
      <c r="S89" s="59" t="str">
        <v>-</v>
      </c>
      <c r="T89" s="60" t="str">
        <v>-</v>
      </c>
      <c r="U89" s="60" t="str">
        <v>-</v>
      </c>
      <c r="V89" s="59" t="str">
        <v>-</v>
      </c>
      <c r="W89" s="60" t="str">
        <v>-</v>
      </c>
      <c r="X89" s="60" t="str">
        <v>-</v>
      </c>
      <c r="Y89" s="77" t="str">
        <v>-</v>
      </c>
      <c r="Z89" s="60">
        <v>45231</v>
      </c>
      <c r="AA89" s="60" t="str">
        <v>-</v>
      </c>
      <c r="AB89" s="77" t="str">
        <v>LC-130/SPoT</v>
      </c>
      <c r="AC89" s="59">
        <v>45261</v>
      </c>
      <c r="AD89" s="59" t="str">
        <v>Yes</v>
      </c>
      <c r="AE89" s="59" t="str">
        <v>FY24 inter</v>
      </c>
      <c r="AF89" s="59" t="str">
        <v>FY24 intra</v>
      </c>
      <c r="AG89" s="59" t="str">
        <v>T. Benson</v>
      </c>
      <c r="AH89" s="59">
        <v>44483</v>
      </c>
      <c r="AI89" s="59" t="str">
        <v>I. McEwen</v>
      </c>
      <c r="AJ89" s="59">
        <v>44483</v>
      </c>
      <c r="AK89" s="59" t="str">
        <v/>
      </c>
      <c r="AL89" s="11" t="str">
        <v/>
      </c>
      <c r="AM89" s="11"/>
      <c r="AN89" s="11"/>
    </row>
    <row r="90" spans="1:40" ht="23.1" hidden="1" customHeight="1" thickTop="1">
      <c r="A90" s="25">
        <v>1.2</v>
      </c>
      <c r="B90" s="25" t="str">
        <v/>
      </c>
      <c r="C90" s="3" t="str">
        <v>Field Season 3 Fuel</v>
      </c>
      <c r="D90" s="42" t="str">
        <v>Fuel to support FY25 field season - Base fuel &amp; deep drilling</v>
      </c>
      <c r="E90" s="43" t="str">
        <v/>
      </c>
      <c r="F90" s="43" t="str">
        <v/>
      </c>
      <c r="G90" s="44" t="str">
        <v/>
      </c>
      <c r="H90" s="45">
        <v>62694</v>
      </c>
      <c r="I90" s="46">
        <v>8380.9681679883215</v>
      </c>
      <c r="J90" s="46">
        <v>6.8</v>
      </c>
      <c r="K90" s="46">
        <v>426319.2</v>
      </c>
      <c r="L90" s="104" t="str">
        <v>preliminary</v>
      </c>
      <c r="M90" s="46" t="str">
        <v/>
      </c>
      <c r="N90" s="427" t="str">
        <v/>
      </c>
      <c r="O90" s="435" t="str">
        <v/>
      </c>
      <c r="P90" s="427" t="str">
        <v>-</v>
      </c>
      <c r="Q90" s="435" t="str">
        <v>-</v>
      </c>
      <c r="R90" s="427" t="str">
        <v>-</v>
      </c>
      <c r="S90" s="427" t="str">
        <v>-</v>
      </c>
      <c r="T90" s="427" t="str">
        <v>-</v>
      </c>
      <c r="U90" s="427" t="str">
        <v>-</v>
      </c>
      <c r="V90" s="427" t="str">
        <v>-</v>
      </c>
      <c r="W90" s="427" t="str">
        <v>-</v>
      </c>
      <c r="X90" s="427" t="str">
        <v>-</v>
      </c>
      <c r="Y90" s="435" t="str">
        <v>-</v>
      </c>
      <c r="Z90" s="434">
        <v>45597</v>
      </c>
      <c r="AA90" s="427" t="str">
        <v>-</v>
      </c>
      <c r="AB90" s="435" t="str">
        <v>LC-130/SPoT</v>
      </c>
      <c r="AC90" s="427">
        <v>45627</v>
      </c>
      <c r="AD90" s="427" t="str">
        <v>Yes</v>
      </c>
      <c r="AE90" s="427" t="str">
        <v>FY25 inter</v>
      </c>
      <c r="AF90" s="427" t="str">
        <v>FY25 intra</v>
      </c>
      <c r="AG90" s="427" t="str">
        <v>T. Benson</v>
      </c>
      <c r="AH90" s="427">
        <v>44483</v>
      </c>
      <c r="AI90" s="427" t="str">
        <v>I. McEwen</v>
      </c>
      <c r="AJ90" s="427">
        <v>44483</v>
      </c>
      <c r="AK90" s="427" t="str">
        <v/>
      </c>
      <c r="AL90" s="9" t="str">
        <v/>
      </c>
    </row>
    <row r="91" spans="1:40" ht="15.95" hidden="1">
      <c r="A91" s="2">
        <v>1.2</v>
      </c>
      <c r="B91" s="2" t="str">
        <v/>
      </c>
      <c r="C91" s="15" t="str">
        <v>Field Season 3 Fuel Contingency</v>
      </c>
      <c r="D91" s="15" t="str">
        <v>Fuel to suppport FY25 field season - Contingency</v>
      </c>
      <c r="E91" s="9" t="str">
        <v/>
      </c>
      <c r="F91" s="9" t="str">
        <v/>
      </c>
      <c r="G91" s="9" t="str">
        <v/>
      </c>
      <c r="H91" s="9">
        <v>8473</v>
      </c>
      <c r="I91" s="9">
        <v>1132.6752685642175</v>
      </c>
      <c r="J91" s="9">
        <v>6.8</v>
      </c>
      <c r="K91" s="9">
        <v>57616.4</v>
      </c>
      <c r="L91" s="74" t="str">
        <v>preliminary</v>
      </c>
      <c r="M91" s="9" t="str">
        <v/>
      </c>
      <c r="N91" s="9" t="str">
        <v/>
      </c>
      <c r="O91" s="80" t="str">
        <v/>
      </c>
      <c r="P91" s="9" t="str">
        <v>-</v>
      </c>
      <c r="Q91" s="80" t="str">
        <v>-</v>
      </c>
      <c r="R91" s="9" t="str">
        <v>-</v>
      </c>
      <c r="S91" s="9" t="str">
        <v>-</v>
      </c>
      <c r="T91" s="9" t="str">
        <v>-</v>
      </c>
      <c r="U91" s="9" t="str">
        <v>-</v>
      </c>
      <c r="V91" s="9" t="str">
        <v>-</v>
      </c>
      <c r="W91" s="9" t="str">
        <v>-</v>
      </c>
      <c r="X91" s="9" t="str">
        <v>-</v>
      </c>
      <c r="Y91" s="80" t="str">
        <v>-</v>
      </c>
      <c r="Z91" s="9">
        <v>45597</v>
      </c>
      <c r="AA91" s="9" t="str">
        <v>-</v>
      </c>
      <c r="AB91" s="80" t="str">
        <v>LC-130/SPoT</v>
      </c>
      <c r="AC91" s="9">
        <v>45627</v>
      </c>
      <c r="AD91" s="9" t="str">
        <v>Yes</v>
      </c>
      <c r="AE91" s="9" t="str">
        <v>FY25 inter</v>
      </c>
      <c r="AF91" s="9" t="str">
        <v>FY25 intra</v>
      </c>
      <c r="AG91" s="9" t="str">
        <v>T. Benson</v>
      </c>
      <c r="AH91" s="9">
        <v>44483</v>
      </c>
      <c r="AI91" s="9" t="str">
        <v>I. McEwen</v>
      </c>
      <c r="AJ91" s="9">
        <v>44483</v>
      </c>
      <c r="AK91" s="9" t="str">
        <v/>
      </c>
      <c r="AL91" s="9" t="str">
        <v/>
      </c>
    </row>
    <row r="92" spans="1:40" ht="15.95" hidden="1">
      <c r="A92" s="9" t="str">
        <v/>
      </c>
      <c r="B92" s="9" t="str">
        <v/>
      </c>
      <c r="C92" s="16" t="str">
        <v>Fuel Totals:</v>
      </c>
      <c r="D92" s="16" t="str">
        <v/>
      </c>
      <c r="E92" s="9" t="str">
        <v/>
      </c>
      <c r="F92" s="9" t="str">
        <v/>
      </c>
      <c r="G92" s="9" t="str">
        <v>TEU=&gt;</v>
      </c>
      <c r="H92" s="9">
        <v>13.39066236666152</v>
      </c>
      <c r="I92" s="9">
        <v>12747.910573061765</v>
      </c>
      <c r="J92" s="9" t="str">
        <v/>
      </c>
      <c r="K92" s="9">
        <v>648454.80000000005</v>
      </c>
      <c r="L92" s="74" t="str">
        <v/>
      </c>
      <c r="M92" s="9" t="str">
        <v/>
      </c>
      <c r="N92" s="9" t="str">
        <v/>
      </c>
      <c r="O92" s="80" t="str">
        <v/>
      </c>
      <c r="P92" s="9" t="str">
        <v/>
      </c>
      <c r="Q92" s="80" t="str">
        <v/>
      </c>
      <c r="R92" s="9" t="str">
        <v/>
      </c>
      <c r="S92" s="9" t="str">
        <v/>
      </c>
      <c r="T92" s="9" t="str">
        <v/>
      </c>
      <c r="U92" s="9" t="str">
        <v/>
      </c>
      <c r="V92" s="9" t="str">
        <v/>
      </c>
      <c r="W92" s="9" t="str">
        <v/>
      </c>
      <c r="X92" s="9" t="str">
        <v/>
      </c>
      <c r="Y92" s="80" t="str">
        <v/>
      </c>
      <c r="Z92" s="9" t="str">
        <v/>
      </c>
      <c r="AA92" s="9" t="str">
        <v/>
      </c>
      <c r="AB92" s="80" t="str">
        <v/>
      </c>
      <c r="AC92" s="9" t="str">
        <v/>
      </c>
      <c r="AD92" s="9" t="str">
        <v/>
      </c>
      <c r="AE92" s="9" t="str">
        <v/>
      </c>
      <c r="AF92" s="9" t="str">
        <v/>
      </c>
      <c r="AG92" s="9" t="str">
        <v/>
      </c>
      <c r="AH92" s="9" t="str">
        <v/>
      </c>
      <c r="AI92" s="9" t="str">
        <v/>
      </c>
      <c r="AJ92" s="9" t="str">
        <v/>
      </c>
      <c r="AK92" s="9" t="str">
        <v/>
      </c>
      <c r="AL92" s="9" t="str">
        <v/>
      </c>
    </row>
    <row r="93" spans="1:40" ht="15.95" hidden="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6"/>
      <c r="D94" s="16"/>
      <c r="Z94" s="80"/>
    </row>
    <row r="95" spans="1:40">
      <c r="C95" s="16"/>
      <c r="D95" s="16"/>
      <c r="Z95" s="80"/>
    </row>
    <row r="96" spans="1:40">
      <c r="C96" s="16"/>
      <c r="D96" s="16"/>
      <c r="Z96" s="80"/>
    </row>
    <row r="97" spans="1:26">
      <c r="C97" s="16"/>
      <c r="D97" s="16"/>
      <c r="Z97" s="80"/>
    </row>
    <row r="98" spans="1:26">
      <c r="C98" s="16"/>
      <c r="D98" s="16"/>
      <c r="Z98" s="80"/>
    </row>
    <row r="99" spans="1:26">
      <c r="C99" s="16"/>
      <c r="D99" s="16"/>
      <c r="Z99" s="80"/>
    </row>
    <row r="100" spans="1:26">
      <c r="C100" s="16"/>
      <c r="D100" s="16"/>
      <c r="Z100" s="80"/>
    </row>
    <row r="101" spans="1:26">
      <c r="C101" s="16"/>
      <c r="D101" s="16"/>
      <c r="Z101" s="80"/>
    </row>
    <row r="102" spans="1:26">
      <c r="A102" s="2"/>
      <c r="B102" s="2"/>
      <c r="C102" s="16"/>
      <c r="D102" s="16"/>
      <c r="I102" s="75"/>
      <c r="J102" s="75"/>
      <c r="K102" s="75"/>
      <c r="L102" s="105"/>
      <c r="Z102" s="80"/>
    </row>
    <row r="103" spans="1:26">
      <c r="A103" s="2"/>
      <c r="B103" s="2"/>
      <c r="C103" s="16"/>
      <c r="D103" s="16"/>
      <c r="Z103" s="80"/>
    </row>
    <row r="104" spans="1:26">
      <c r="Z104" s="80"/>
    </row>
    <row r="105" spans="1:26">
      <c r="C105" s="16"/>
      <c r="D105" s="16"/>
      <c r="Z105" s="80"/>
    </row>
    <row r="106" spans="1:26">
      <c r="C106" s="16"/>
      <c r="D106" s="16"/>
      <c r="Z106" s="80"/>
    </row>
    <row r="107" spans="1:26">
      <c r="C107" s="16"/>
      <c r="D107" s="16"/>
      <c r="Z107" s="80"/>
    </row>
    <row r="108" spans="1:26">
      <c r="Z108" s="80"/>
    </row>
    <row r="109" spans="1:26">
      <c r="C109" s="16"/>
      <c r="D109" s="16"/>
      <c r="Z109" s="80"/>
    </row>
    <row r="110" spans="1:26">
      <c r="C110" s="16"/>
      <c r="D110" s="16"/>
      <c r="Z110" s="80"/>
    </row>
    <row r="111" spans="1:26">
      <c r="Z111" s="80"/>
    </row>
    <row r="112" spans="1:26">
      <c r="L112" s="106"/>
      <c r="Z112" s="80"/>
    </row>
    <row r="113" spans="1:26">
      <c r="D113" s="73"/>
      <c r="Z113" s="80"/>
    </row>
    <row r="114" spans="1:26" ht="15.95" thickBot="1">
      <c r="D114" s="73"/>
      <c r="Z114" s="80"/>
    </row>
    <row r="115" spans="1:26">
      <c r="A115" s="416"/>
      <c r="B115" s="417"/>
      <c r="C115" s="81" t="s">
        <v>475</v>
      </c>
      <c r="D115" s="82" t="s">
        <v>476</v>
      </c>
      <c r="Z115" s="80"/>
    </row>
    <row r="116" spans="1:26">
      <c r="A116" s="414" t="s">
        <v>477</v>
      </c>
      <c r="B116" s="415"/>
      <c r="C116" s="84">
        <f>SUBTOTAL(9,I2:I100)</f>
        <v>11173.701933773271</v>
      </c>
      <c r="D116" s="85">
        <f>SUBTOTAL(9,K2:K100)</f>
        <v>150540.4</v>
      </c>
      <c r="E116" s="90"/>
      <c r="Z116" s="80"/>
    </row>
    <row r="117" spans="1:26" ht="15.95" thickBot="1">
      <c r="A117" s="412" t="s">
        <v>478</v>
      </c>
      <c r="B117" s="413"/>
      <c r="C117" s="86">
        <f>SUMIFS(volume,pole_date,"&gt;="&amp;$A$120,pole_date,"&lt;="&amp;$B$120)</f>
        <v>11173.701933773271</v>
      </c>
      <c r="D117" s="87">
        <f>SUMIFS(weight_,pole_date,"&gt;="&amp;A$120,pole_date,"&lt;="&amp;$B$120)</f>
        <v>150540.4</v>
      </c>
      <c r="J117" s="90"/>
      <c r="U117" s="90"/>
      <c r="Z117" s="80"/>
    </row>
    <row r="118" spans="1:26" ht="15.95" thickBot="1">
      <c r="D118" s="73"/>
      <c r="Z118" s="80"/>
    </row>
    <row r="119" spans="1:26" ht="15.95">
      <c r="A119" s="111" t="s">
        <v>479</v>
      </c>
      <c r="B119" s="81" t="s">
        <v>480</v>
      </c>
      <c r="C119" s="81"/>
      <c r="D119" s="82"/>
      <c r="Z119" s="80"/>
    </row>
    <row r="120" spans="1:26">
      <c r="A120" s="109">
        <f>'ICU_cargo MASTER INPUT SHEET'!A128</f>
        <v>44835</v>
      </c>
      <c r="B120" s="110">
        <f>'ICU_cargo MASTER INPUT SHEET'!B128</f>
        <v>44972</v>
      </c>
      <c r="D120" s="85"/>
      <c r="Z120" s="80"/>
    </row>
    <row r="121" spans="1:26" ht="15.95" thickBot="1">
      <c r="A121" s="412"/>
      <c r="B121" s="413"/>
      <c r="C121" s="86"/>
      <c r="D121" s="87"/>
      <c r="Z121" s="80"/>
    </row>
    <row r="122" spans="1:26">
      <c r="Z122" s="80"/>
    </row>
    <row r="123" spans="1:26">
      <c r="Z123" s="80"/>
    </row>
    <row r="124" spans="1:26" ht="15.95">
      <c r="A124" s="102"/>
      <c r="B124" s="102"/>
      <c r="C124" s="101"/>
      <c r="D124" s="101"/>
      <c r="Z124" s="80"/>
    </row>
    <row r="125" spans="1:26" ht="15.95">
      <c r="A125" s="102"/>
      <c r="B125" s="102"/>
      <c r="C125" s="101"/>
      <c r="D125" s="101"/>
      <c r="Z125" s="80"/>
    </row>
    <row r="126" spans="1:26" ht="15.95">
      <c r="A126" s="102"/>
      <c r="B126" s="102"/>
      <c r="C126" s="101"/>
      <c r="D126" s="101"/>
      <c r="Z126" s="80"/>
    </row>
    <row r="127" spans="1:26" ht="15.95">
      <c r="A127" s="102"/>
      <c r="B127" s="102"/>
      <c r="C127" s="101"/>
      <c r="D127" s="101"/>
      <c r="Z127" s="80"/>
    </row>
    <row r="128" spans="1:26">
      <c r="Z128" s="80"/>
    </row>
    <row r="129" spans="26:26">
      <c r="Z129" s="80"/>
    </row>
    <row r="130" spans="26:26">
      <c r="Z130" s="80"/>
    </row>
    <row r="131" spans="26:26">
      <c r="Z131" s="80"/>
    </row>
    <row r="132" spans="26:26">
      <c r="Z132" s="80"/>
    </row>
    <row r="133" spans="26:26">
      <c r="Z133" s="80"/>
    </row>
    <row r="134" spans="26:26">
      <c r="Z134" s="80"/>
    </row>
    <row r="135" spans="26:26">
      <c r="Z135" s="80"/>
    </row>
    <row r="136" spans="26:26">
      <c r="Z136" s="80"/>
    </row>
    <row r="137" spans="26:26">
      <c r="Z137" s="80"/>
    </row>
    <row r="138" spans="26:26">
      <c r="Z138" s="80"/>
    </row>
    <row r="139" spans="26:26">
      <c r="Z139" s="80"/>
    </row>
    <row r="140" spans="26:26">
      <c r="Z140" s="80"/>
    </row>
    <row r="141" spans="26:26">
      <c r="Z141" s="80"/>
    </row>
    <row r="142" spans="26:26">
      <c r="Z142" s="80"/>
    </row>
    <row r="143" spans="26:26">
      <c r="Z143" s="80"/>
    </row>
    <row r="144" spans="26:26">
      <c r="Z144" s="80"/>
    </row>
    <row r="145" spans="26:26">
      <c r="Z145" s="80"/>
    </row>
    <row r="146" spans="26:26">
      <c r="Z146" s="80"/>
    </row>
    <row r="147" spans="26:26">
      <c r="Z147" s="80"/>
    </row>
    <row r="148" spans="26:26">
      <c r="Z148" s="80"/>
    </row>
    <row r="149" spans="26:26">
      <c r="Z149" s="80"/>
    </row>
    <row r="150" spans="26:26">
      <c r="Z150" s="80"/>
    </row>
    <row r="151" spans="26:26">
      <c r="Z151" s="80"/>
    </row>
    <row r="152" spans="26:26">
      <c r="Z152" s="80"/>
    </row>
    <row r="153" spans="26:26">
      <c r="Z153" s="80"/>
    </row>
    <row r="154" spans="26:26">
      <c r="Z154" s="80"/>
    </row>
    <row r="155" spans="26:26">
      <c r="Z155" s="80"/>
    </row>
    <row r="156" spans="26:26">
      <c r="Z156" s="80"/>
    </row>
    <row r="157" spans="26:26">
      <c r="Z157" s="80"/>
    </row>
    <row r="158" spans="26:26">
      <c r="Z158" s="80"/>
    </row>
    <row r="159" spans="26:26">
      <c r="Z159" s="80"/>
    </row>
    <row r="160" spans="26:26">
      <c r="Z160" s="80"/>
    </row>
    <row r="161" spans="26:26">
      <c r="Z161" s="80"/>
    </row>
    <row r="162" spans="26:26">
      <c r="Z162" s="80"/>
    </row>
    <row r="163" spans="26:26">
      <c r="Z163" s="80"/>
    </row>
    <row r="164" spans="26:26">
      <c r="Z164" s="80"/>
    </row>
    <row r="165" spans="26:26">
      <c r="Z165" s="80"/>
    </row>
    <row r="166" spans="26:26">
      <c r="Z166" s="80"/>
    </row>
    <row r="167" spans="26:26">
      <c r="Z167" s="80"/>
    </row>
    <row r="168" spans="26:26">
      <c r="Z168" s="80"/>
    </row>
    <row r="169" spans="26:26">
      <c r="Z169" s="80"/>
    </row>
    <row r="170" spans="26:26">
      <c r="Z170" s="80"/>
    </row>
    <row r="171" spans="26:26">
      <c r="Z171" s="80"/>
    </row>
    <row r="172" spans="26:26">
      <c r="Z172" s="80"/>
    </row>
    <row r="173" spans="26:26">
      <c r="Z173" s="80"/>
    </row>
    <row r="174" spans="26:26">
      <c r="Z174" s="80"/>
    </row>
    <row r="175" spans="26:26">
      <c r="Z175" s="80"/>
    </row>
    <row r="176" spans="26:26">
      <c r="Z176" s="80"/>
    </row>
    <row r="177" spans="26:26">
      <c r="Z177" s="80"/>
    </row>
    <row r="178" spans="26:26">
      <c r="Z178" s="80"/>
    </row>
    <row r="179" spans="26:26">
      <c r="Z179" s="80"/>
    </row>
    <row r="180" spans="26:26">
      <c r="Z180" s="80"/>
    </row>
    <row r="181" spans="26:26">
      <c r="Z181" s="80"/>
    </row>
    <row r="182" spans="26:26">
      <c r="Z182" s="80"/>
    </row>
    <row r="183" spans="26:26">
      <c r="Z183" s="80"/>
    </row>
    <row r="184" spans="26:26">
      <c r="Z184" s="80"/>
    </row>
    <row r="185" spans="26:26">
      <c r="Z185" s="80"/>
    </row>
    <row r="186" spans="26:26">
      <c r="Z186" s="80"/>
    </row>
    <row r="187" spans="26:26">
      <c r="Z187" s="80"/>
    </row>
    <row r="188" spans="26:26">
      <c r="Z188" s="80"/>
    </row>
    <row r="189" spans="26:26">
      <c r="Z189" s="80"/>
    </row>
    <row r="190" spans="26:26">
      <c r="Z190" s="80"/>
    </row>
    <row r="191" spans="26:26">
      <c r="Z191" s="80"/>
    </row>
    <row r="192" spans="26:26">
      <c r="Z192" s="80"/>
    </row>
    <row r="193" spans="26:26">
      <c r="Z193" s="80"/>
    </row>
    <row r="194" spans="26:26">
      <c r="Z194" s="80"/>
    </row>
    <row r="195" spans="26:26">
      <c r="Z195" s="80"/>
    </row>
    <row r="196" spans="26:26">
      <c r="Z196" s="80"/>
    </row>
    <row r="197" spans="26:26">
      <c r="Z197" s="80"/>
    </row>
    <row r="198" spans="26:26">
      <c r="Z198" s="80"/>
    </row>
    <row r="199" spans="26:26">
      <c r="Z199" s="80"/>
    </row>
    <row r="200" spans="26:26">
      <c r="Z200" s="80"/>
    </row>
    <row r="201" spans="26:26">
      <c r="Z201" s="80"/>
    </row>
    <row r="202" spans="26:26">
      <c r="Z202" s="80"/>
    </row>
    <row r="203" spans="26:26">
      <c r="Z203" s="80"/>
    </row>
    <row r="204" spans="26:26">
      <c r="Z204" s="80"/>
    </row>
    <row r="205" spans="26:26">
      <c r="Z205" s="80"/>
    </row>
    <row r="206" spans="26:26">
      <c r="Z206" s="80"/>
    </row>
    <row r="207" spans="26:26">
      <c r="Z207" s="80"/>
    </row>
    <row r="208" spans="26:26">
      <c r="Z208" s="80"/>
    </row>
    <row r="209" spans="26:26">
      <c r="Z209" s="80"/>
    </row>
    <row r="210" spans="26:26">
      <c r="Z210" s="80"/>
    </row>
    <row r="211" spans="26:26">
      <c r="Z211" s="80"/>
    </row>
    <row r="212" spans="26:26">
      <c r="Z212" s="80"/>
    </row>
    <row r="213" spans="26:26">
      <c r="Z213" s="80"/>
    </row>
    <row r="214" spans="26:26">
      <c r="Z214" s="80"/>
    </row>
    <row r="215" spans="26:26">
      <c r="Z215" s="80"/>
    </row>
    <row r="216" spans="26:26">
      <c r="Z216" s="80"/>
    </row>
    <row r="217" spans="26:26">
      <c r="Z217" s="80"/>
    </row>
    <row r="218" spans="26:26">
      <c r="Z218" s="80"/>
    </row>
    <row r="219" spans="26:26">
      <c r="Z219" s="80"/>
    </row>
    <row r="220" spans="26:26">
      <c r="Z220" s="80"/>
    </row>
    <row r="221" spans="26:26">
      <c r="Z221" s="80"/>
    </row>
    <row r="222" spans="26:26">
      <c r="Z222" s="80"/>
    </row>
    <row r="223" spans="26:26">
      <c r="Z223" s="80"/>
    </row>
    <row r="224" spans="26:26">
      <c r="Z224" s="80"/>
    </row>
    <row r="225" spans="26:26">
      <c r="Z225" s="80"/>
    </row>
    <row r="226" spans="26:26">
      <c r="Z226" s="80"/>
    </row>
    <row r="227" spans="26:26">
      <c r="Z227" s="80"/>
    </row>
    <row r="228" spans="26:26">
      <c r="Z228" s="80"/>
    </row>
    <row r="229" spans="26:26">
      <c r="Z229" s="80"/>
    </row>
    <row r="230" spans="26:26">
      <c r="Z230" s="80"/>
    </row>
    <row r="231" spans="26:26">
      <c r="Z231" s="80"/>
    </row>
    <row r="232" spans="26:26">
      <c r="Z232" s="80"/>
    </row>
    <row r="233" spans="26:26">
      <c r="Z233" s="80"/>
    </row>
    <row r="234" spans="26:26">
      <c r="Z234" s="80"/>
    </row>
    <row r="235" spans="26:26">
      <c r="Z235" s="80"/>
    </row>
    <row r="236" spans="26:26">
      <c r="Z236" s="80"/>
    </row>
    <row r="237" spans="26:26">
      <c r="Z237" s="80"/>
    </row>
    <row r="238" spans="26:26">
      <c r="Z238" s="80"/>
    </row>
    <row r="239" spans="26:26">
      <c r="Z239" s="80"/>
    </row>
    <row r="240" spans="26:26">
      <c r="Z240" s="80"/>
    </row>
    <row r="241" spans="26:26">
      <c r="Z241" s="80"/>
    </row>
    <row r="242" spans="26:26">
      <c r="Z242" s="80"/>
    </row>
    <row r="243" spans="26:26">
      <c r="Z243" s="80"/>
    </row>
    <row r="244" spans="26:26">
      <c r="Z244" s="80"/>
    </row>
    <row r="245" spans="26:26">
      <c r="Z245" s="80"/>
    </row>
    <row r="246" spans="26:26">
      <c r="Z246" s="80"/>
    </row>
    <row r="247" spans="26:26">
      <c r="Z247" s="80"/>
    </row>
    <row r="248" spans="26:26">
      <c r="Z248" s="80"/>
    </row>
    <row r="249" spans="26:26">
      <c r="Z249" s="80"/>
    </row>
    <row r="250" spans="26:26">
      <c r="Z250" s="80"/>
    </row>
    <row r="251" spans="26:26">
      <c r="Z251" s="80"/>
    </row>
    <row r="252" spans="26:26">
      <c r="Z252" s="80"/>
    </row>
    <row r="253" spans="26:26">
      <c r="Z253" s="80"/>
    </row>
    <row r="254" spans="26:26">
      <c r="Z254" s="80"/>
    </row>
    <row r="255" spans="26:26">
      <c r="Z255" s="80"/>
    </row>
    <row r="256" spans="26:26">
      <c r="Z256" s="80"/>
    </row>
    <row r="257" spans="26:26">
      <c r="Z257" s="80"/>
    </row>
    <row r="258" spans="26:26">
      <c r="Z258" s="80"/>
    </row>
    <row r="259" spans="26:26">
      <c r="Z259" s="80"/>
    </row>
    <row r="260" spans="26:26">
      <c r="Z260" s="80"/>
    </row>
    <row r="261" spans="26:26">
      <c r="Z261" s="80"/>
    </row>
    <row r="262" spans="26:26">
      <c r="Z262" s="80"/>
    </row>
    <row r="263" spans="26:26">
      <c r="Z263" s="80"/>
    </row>
    <row r="264" spans="26:26">
      <c r="Z264" s="80"/>
    </row>
    <row r="265" spans="26:26">
      <c r="Z265" s="80"/>
    </row>
    <row r="266" spans="26:26">
      <c r="Z266" s="80"/>
    </row>
    <row r="267" spans="26:26">
      <c r="Z267" s="80"/>
    </row>
    <row r="268" spans="26:26">
      <c r="Z268" s="80"/>
    </row>
    <row r="269" spans="26:26">
      <c r="Z269" s="80"/>
    </row>
    <row r="270" spans="26:26">
      <c r="Z270" s="80"/>
    </row>
    <row r="271" spans="26:26">
      <c r="Z271" s="80"/>
    </row>
    <row r="272" spans="26:26">
      <c r="Z272" s="80"/>
    </row>
    <row r="273" spans="26:26">
      <c r="Z273" s="80"/>
    </row>
    <row r="274" spans="26:26">
      <c r="Z274" s="80"/>
    </row>
    <row r="275" spans="26:26">
      <c r="Z275" s="80"/>
    </row>
    <row r="276" spans="26:26">
      <c r="Z276" s="80"/>
    </row>
    <row r="277" spans="26:26">
      <c r="Z277" s="80"/>
    </row>
    <row r="278" spans="26:26">
      <c r="Z278" s="80"/>
    </row>
    <row r="279" spans="26:26">
      <c r="Z279" s="80"/>
    </row>
    <row r="280" spans="26:26">
      <c r="Z280" s="80"/>
    </row>
    <row r="281" spans="26:26">
      <c r="Z281" s="80"/>
    </row>
    <row r="282" spans="26:26">
      <c r="Z282" s="80"/>
    </row>
    <row r="283" spans="26:26">
      <c r="Z283" s="80"/>
    </row>
    <row r="284" spans="26:26">
      <c r="Z284" s="80"/>
    </row>
    <row r="285" spans="26:26">
      <c r="Z285" s="80"/>
    </row>
    <row r="286" spans="26:26">
      <c r="Z286" s="80"/>
    </row>
    <row r="287" spans="26:26">
      <c r="Z287" s="80"/>
    </row>
    <row r="288" spans="26:26">
      <c r="Z288" s="80"/>
    </row>
    <row r="289" spans="26:26">
      <c r="Z289" s="80"/>
    </row>
    <row r="290" spans="26:26">
      <c r="Z290" s="80"/>
    </row>
    <row r="291" spans="26:26">
      <c r="Z291" s="80"/>
    </row>
    <row r="292" spans="26:26">
      <c r="Z292" s="80"/>
    </row>
    <row r="293" spans="26:26">
      <c r="Z293" s="80"/>
    </row>
    <row r="294" spans="26:26">
      <c r="Z294" s="80"/>
    </row>
    <row r="295" spans="26:26">
      <c r="Z295" s="80"/>
    </row>
    <row r="296" spans="26:26">
      <c r="Z296" s="80"/>
    </row>
    <row r="297" spans="26:26">
      <c r="Z297" s="80"/>
    </row>
    <row r="298" spans="26:26">
      <c r="Z298" s="80"/>
    </row>
    <row r="299" spans="26:26">
      <c r="Z299" s="80"/>
    </row>
    <row r="300" spans="26:26">
      <c r="Z300" s="80"/>
    </row>
    <row r="301" spans="26:26">
      <c r="Z301" s="80"/>
    </row>
    <row r="302" spans="26:26">
      <c r="Z302" s="80"/>
    </row>
    <row r="303" spans="26:26">
      <c r="Z303" s="80"/>
    </row>
    <row r="304" spans="26:26">
      <c r="Z304" s="80"/>
    </row>
    <row r="305" spans="26:26">
      <c r="Z305" s="80"/>
    </row>
    <row r="306" spans="26:26">
      <c r="Z306" s="80"/>
    </row>
    <row r="307" spans="26:26">
      <c r="Z307" s="80"/>
    </row>
    <row r="308" spans="26:26">
      <c r="Z308" s="80"/>
    </row>
    <row r="309" spans="26:26">
      <c r="Z309" s="80"/>
    </row>
    <row r="310" spans="26:26">
      <c r="Z310" s="80"/>
    </row>
    <row r="311" spans="26:26">
      <c r="Z311" s="80"/>
    </row>
    <row r="312" spans="26:26">
      <c r="Z312" s="80"/>
    </row>
    <row r="313" spans="26:26">
      <c r="Z313" s="80"/>
    </row>
    <row r="314" spans="26:26">
      <c r="Z314" s="80"/>
    </row>
    <row r="315" spans="26:26">
      <c r="Z315" s="80"/>
    </row>
    <row r="316" spans="26:26">
      <c r="Z316" s="80"/>
    </row>
    <row r="317" spans="26:26">
      <c r="Z317" s="80"/>
    </row>
    <row r="318" spans="26:26">
      <c r="Z318" s="80"/>
    </row>
    <row r="319" spans="26:26">
      <c r="Z319" s="80"/>
    </row>
    <row r="320" spans="26:26">
      <c r="Z320" s="80"/>
    </row>
    <row r="321" spans="26:26">
      <c r="Z321" s="80"/>
    </row>
    <row r="322" spans="26:26">
      <c r="Z322" s="80"/>
    </row>
    <row r="323" spans="26:26">
      <c r="Z323" s="80"/>
    </row>
    <row r="324" spans="26:26">
      <c r="Z324" s="80"/>
    </row>
    <row r="325" spans="26:26">
      <c r="Z325" s="80"/>
    </row>
    <row r="326" spans="26:26">
      <c r="Z326" s="80"/>
    </row>
    <row r="327" spans="26:26">
      <c r="Z327" s="80"/>
    </row>
    <row r="328" spans="26:26">
      <c r="Z328" s="80"/>
    </row>
    <row r="329" spans="26:26">
      <c r="Z329" s="80"/>
    </row>
    <row r="330" spans="26:26">
      <c r="Z330" s="80"/>
    </row>
    <row r="331" spans="26:26">
      <c r="Z331" s="80"/>
    </row>
    <row r="332" spans="26:26">
      <c r="Z332" s="80"/>
    </row>
    <row r="333" spans="26:26">
      <c r="Z333" s="80"/>
    </row>
    <row r="334" spans="26:26">
      <c r="Z334" s="80"/>
    </row>
    <row r="335" spans="26:26">
      <c r="Z335" s="80"/>
    </row>
    <row r="336" spans="26:26">
      <c r="Z336" s="80"/>
    </row>
    <row r="337" spans="26:26">
      <c r="Z337" s="80"/>
    </row>
    <row r="338" spans="26:26">
      <c r="Z338" s="80"/>
    </row>
    <row r="339" spans="26:26">
      <c r="Z339" s="80"/>
    </row>
    <row r="340" spans="26:26">
      <c r="Z340" s="80"/>
    </row>
    <row r="341" spans="26:26">
      <c r="Z341" s="80"/>
    </row>
    <row r="342" spans="26:26">
      <c r="Z342" s="80"/>
    </row>
    <row r="343" spans="26:26">
      <c r="Z343" s="80"/>
    </row>
    <row r="344" spans="26:26">
      <c r="Z344" s="80"/>
    </row>
    <row r="345" spans="26:26">
      <c r="Z345" s="80"/>
    </row>
    <row r="346" spans="26:26">
      <c r="Z346" s="80"/>
    </row>
    <row r="347" spans="26:26">
      <c r="Z347" s="80"/>
    </row>
    <row r="348" spans="26:26">
      <c r="Z348" s="80"/>
    </row>
    <row r="349" spans="26:26">
      <c r="Z349" s="80"/>
    </row>
    <row r="350" spans="26:26">
      <c r="Z350" s="80"/>
    </row>
    <row r="351" spans="26:26">
      <c r="Z351" s="80"/>
    </row>
    <row r="352" spans="26:26">
      <c r="Z352" s="80"/>
    </row>
    <row r="353" spans="26:26">
      <c r="Z353" s="80"/>
    </row>
  </sheetData>
  <sheetProtection sheet="1" objects="1" scenarios="1" formatCells="0" formatColumns="0" formatRows="0" sort="0" autoFilter="0"/>
  <autoFilter ref="A1:AN93" xr:uid="{9F684630-DE50-AA4D-B491-6749EF8F97D2}">
    <filterColumn colId="27">
      <filters>
        <dateGroupItem year="2023" month="1" dateTimeGrouping="month"/>
        <dateGroupItem year="2023" month="2" dateTimeGrouping="month"/>
        <dateGroupItem year="2022" dateTimeGrouping="year"/>
      </filters>
    </filterColumn>
  </autoFilter>
  <mergeCells count="4">
    <mergeCell ref="A116:B116"/>
    <mergeCell ref="A117:B117"/>
    <mergeCell ref="A121:B121"/>
    <mergeCell ref="A115:B115"/>
  </mergeCells>
  <conditionalFormatting sqref="D116">
    <cfRule type="cellIs" dxfId="22" priority="4" operator="equal">
      <formula>$D$117</formula>
    </cfRule>
  </conditionalFormatting>
  <conditionalFormatting sqref="D117">
    <cfRule type="cellIs" dxfId="21" priority="3" operator="equal">
      <formula>$D$116</formula>
    </cfRule>
  </conditionalFormatting>
  <conditionalFormatting sqref="C116">
    <cfRule type="cellIs" dxfId="20" priority="2" operator="equal">
      <formula>$C$117</formula>
    </cfRule>
  </conditionalFormatting>
  <conditionalFormatting sqref="C117">
    <cfRule type="cellIs" dxfId="19" priority="1" operator="equal">
      <formula>$C$116</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D4D0C-E2F2-2342-83B6-3DF9688484DF}">
  <sheetPr filterMode="1"/>
  <dimension ref="A1:AN353"/>
  <sheetViews>
    <sheetView topLeftCell="Z1" workbookViewId="0">
      <selection activeCell="O1" sqref="O1:O1048576"/>
    </sheetView>
  </sheetViews>
  <sheetFormatPr defaultColWidth="9.140625" defaultRowHeight="15"/>
  <cols>
    <col min="1" max="2" width="12.85546875" style="146" customWidth="1"/>
    <col min="3" max="3" width="28" style="190" customWidth="1"/>
    <col min="4" max="4" width="73.7109375" style="190" customWidth="1"/>
    <col min="5" max="7" width="12" style="146" customWidth="1"/>
    <col min="8" max="8" width="10.140625" style="146" customWidth="1"/>
    <col min="9" max="10" width="8.7109375" style="146" customWidth="1"/>
    <col min="11" max="11" width="10" style="146" customWidth="1"/>
    <col min="12" max="12" width="16.28515625" style="185" customWidth="1"/>
    <col min="13" max="13" width="12.7109375" style="146" customWidth="1"/>
    <col min="14" max="14" width="17.140625" style="146" customWidth="1"/>
    <col min="15" max="15" width="17.140625" style="408" customWidth="1"/>
    <col min="16" max="16" width="17.7109375" style="186" customWidth="1"/>
    <col min="17" max="18" width="16.7109375" style="186" customWidth="1"/>
    <col min="19" max="19" width="17.7109375" style="146" customWidth="1"/>
    <col min="20" max="21" width="16.7109375" style="146" customWidth="1"/>
    <col min="22" max="22" width="17.7109375" style="146" customWidth="1"/>
    <col min="23" max="24" width="16.7109375" style="146" customWidth="1"/>
    <col min="25" max="25" width="18.85546875" style="186" customWidth="1"/>
    <col min="26" max="26" width="19.7109375" style="384" customWidth="1"/>
    <col min="27" max="27" width="16.42578125" style="146" customWidth="1"/>
    <col min="28" max="29" width="16.42578125" style="186" customWidth="1"/>
    <col min="30" max="32" width="16.42578125" style="146" customWidth="1"/>
    <col min="33" max="36" width="16.42578125" style="186" customWidth="1"/>
    <col min="37" max="37" width="60.7109375" style="146" customWidth="1"/>
    <col min="38" max="16384" width="9.140625" style="146"/>
  </cols>
  <sheetData>
    <row r="1" spans="1:40" ht="102">
      <c r="A1" s="140" t="str" cm="1">
        <f t="array" ref="A1:AL93">IF(ISBLANK('ICU_cargo MASTER INPUT SHEET'!A1:AL93),"",'ICU_cargo MASTER INPUT SHEET'!A1:AL93)</f>
        <v>Cargo Item  respective WBS Level</v>
      </c>
      <c r="B1" s="140" t="str">
        <v>Work Package</v>
      </c>
      <c r="C1" s="141" t="str">
        <v>Item Description</v>
      </c>
      <c r="D1" s="141" t="str">
        <v>Contents &amp; Comments</v>
      </c>
      <c r="E1" s="140" t="str">
        <v>Length (in)</v>
      </c>
      <c r="F1" s="140" t="str">
        <v>Width (in)</v>
      </c>
      <c r="G1" s="140" t="str">
        <v>Height (in)</v>
      </c>
      <c r="H1" s="140" t="str">
        <v>Quantity</v>
      </c>
      <c r="I1" s="140" t="str">
        <v xml:space="preserve"> Cubic feet</v>
      </c>
      <c r="J1" s="140" t="str">
        <v>Unit weight (lbs)</v>
      </c>
      <c r="K1" s="140" t="str">
        <v>Total Weight (lbs) = quantity x unit weight</v>
      </c>
      <c r="L1" s="140" t="str">
        <v>Basis of Estimate</v>
      </c>
      <c r="M1" s="140" t="str">
        <v>Special Handling?</v>
      </c>
      <c r="N1" s="140" t="str">
        <v xml:space="preserve">Owner/Guardian institution </v>
      </c>
      <c r="O1" s="406" t="str">
        <v>Time between date of completion and shipping date</v>
      </c>
      <c r="P1" s="143" t="str">
        <v xml:space="preserve">Date of expected  or actual  completion </v>
      </c>
      <c r="Q1" s="143" t="str">
        <v>Expected Route:  Owner - PTH or CHC</v>
      </c>
      <c r="R1" s="143" t="str">
        <v xml:space="preserve">Date of expected or actual shipment </v>
      </c>
      <c r="S1" s="144" t="str">
        <v>Recommended Transportation Option</v>
      </c>
      <c r="T1" s="144" t="str">
        <v>Expected Route: PTH - MCM or CHC</v>
      </c>
      <c r="U1" s="144" t="str">
        <v xml:space="preserve">Date of expected or actual shipment </v>
      </c>
      <c r="V1" s="145" t="str">
        <v>Recommended Transportation Option</v>
      </c>
      <c r="W1" s="145" t="str">
        <v>Expected Route: CHC - MCM</v>
      </c>
      <c r="X1" s="145" t="str">
        <v xml:space="preserve">Date of expected or actual shipment </v>
      </c>
      <c r="Y1" s="142" t="str">
        <v>Recommended Transportation Option</v>
      </c>
      <c r="Z1" s="142" t="str">
        <v>Date Item expected or arrived to MCM</v>
      </c>
      <c r="AA1" s="140" t="str">
        <v xml:space="preserve">Date of (planned) or actual shipment to SPA </v>
      </c>
      <c r="AB1" s="142" t="str">
        <v>Recommended LC-130 or SPOT</v>
      </c>
      <c r="AC1" s="142" t="str">
        <v>Date/Month for Items needed at South Pole</v>
      </c>
      <c r="AD1" s="140" t="str">
        <v>Critical Path</v>
      </c>
      <c r="AE1" s="140" t="str">
        <v>Intercontinental shipping</v>
      </c>
      <c r="AF1" s="140" t="str">
        <v>Intracontinental shipping</v>
      </c>
      <c r="AG1" s="142" t="str">
        <v>Validator 1
(SME)</v>
      </c>
      <c r="AH1" s="142" t="str">
        <v>Validation Date</v>
      </c>
      <c r="AI1" s="142" t="str">
        <v>Validator 2
(Logistics)</v>
      </c>
      <c r="AJ1" s="142" t="str">
        <v>Validation Date</v>
      </c>
      <c r="AK1" s="140" t="str">
        <v>Notes</v>
      </c>
      <c r="AL1" s="146" t="str">
        <v/>
      </c>
    </row>
    <row r="2" spans="1:40" s="9" customFormat="1" ht="33.950000000000003" hidden="1">
      <c r="A2" s="10">
        <v>1.2</v>
      </c>
      <c r="B2" s="50" t="str">
        <v>Drill</v>
      </c>
      <c r="C2" s="14" t="str">
        <v>Gen 1 - housed in 20' container</v>
      </c>
      <c r="D2" s="3" t="str">
        <v>Power generation unit 1 housed in 20' shipping container</v>
      </c>
      <c r="E2" s="4">
        <v>240</v>
      </c>
      <c r="F2" s="4">
        <v>96</v>
      </c>
      <c r="G2" s="4">
        <v>102</v>
      </c>
      <c r="H2" s="4">
        <v>1</v>
      </c>
      <c r="I2" s="4">
        <v>1360</v>
      </c>
      <c r="J2" s="4">
        <v>22000</v>
      </c>
      <c r="K2" s="4">
        <v>22000</v>
      </c>
      <c r="L2" s="4" t="str">
        <v>actual</v>
      </c>
      <c r="M2" s="4" t="str">
        <v/>
      </c>
      <c r="N2" s="427" t="str">
        <v xml:space="preserve"> U. Wisc. Madison</v>
      </c>
      <c r="O2" s="435" t="str">
        <v>In McMurdo</v>
      </c>
      <c r="P2" s="428">
        <v>43867</v>
      </c>
      <c r="Q2" s="429" t="str">
        <v>In McMurdo</v>
      </c>
      <c r="R2" s="428" t="str">
        <v>-</v>
      </c>
      <c r="S2" s="430" t="str">
        <v>-</v>
      </c>
      <c r="T2" s="431" t="str">
        <v>In McMurdo</v>
      </c>
      <c r="U2" s="431" t="str">
        <v>-</v>
      </c>
      <c r="V2" s="432" t="str">
        <v>-</v>
      </c>
      <c r="W2" s="433" t="str">
        <v>In McMurdo</v>
      </c>
      <c r="X2" s="433" t="str">
        <v>-</v>
      </c>
      <c r="Y2" s="88" t="str">
        <v>-</v>
      </c>
      <c r="Z2" s="434" t="str">
        <v>In McMurdo</v>
      </c>
      <c r="AA2" s="409" t="str">
        <v>-</v>
      </c>
      <c r="AB2" s="435" t="str">
        <v>SPoT</v>
      </c>
      <c r="AC2" s="409">
        <v>45261</v>
      </c>
      <c r="AD2" s="409" t="str">
        <v>Yes</v>
      </c>
      <c r="AE2" s="409" t="str">
        <v>In McMurdo</v>
      </c>
      <c r="AF2" s="409" t="str">
        <v>FY24 intra</v>
      </c>
      <c r="AG2" s="409" t="str">
        <v>D. Gibson</v>
      </c>
      <c r="AH2" s="409">
        <v>44475</v>
      </c>
      <c r="AI2" s="409" t="str">
        <v>I. McEwen</v>
      </c>
      <c r="AJ2" s="10">
        <v>44475</v>
      </c>
      <c r="AK2" s="409" t="str">
        <v>Will require crane for onload/offload  - use belly band to support container sidewalls during lift.</v>
      </c>
      <c r="AL2" s="9" t="str">
        <v/>
      </c>
    </row>
    <row r="3" spans="1:40" s="9" customFormat="1" ht="51" hidden="1">
      <c r="A3" s="10">
        <v>1.2</v>
      </c>
      <c r="B3" s="50" t="str">
        <v>Drill</v>
      </c>
      <c r="C3" s="14" t="str">
        <v>Gen 2 - housed in 20' container</v>
      </c>
      <c r="D3" s="3" t="str">
        <v>Power generation unit 2 housed in 20' shipping container</v>
      </c>
      <c r="E3" s="4">
        <v>240</v>
      </c>
      <c r="F3" s="4">
        <v>96</v>
      </c>
      <c r="G3" s="4">
        <v>102</v>
      </c>
      <c r="H3" s="4">
        <v>1</v>
      </c>
      <c r="I3" s="4">
        <v>1360</v>
      </c>
      <c r="J3" s="4">
        <v>22000</v>
      </c>
      <c r="K3" s="4">
        <v>22000</v>
      </c>
      <c r="L3" s="4" t="str">
        <v>actual</v>
      </c>
      <c r="M3" s="4" t="str">
        <v/>
      </c>
      <c r="N3" s="427" t="str">
        <v xml:space="preserve"> U. Wisc. Madison</v>
      </c>
      <c r="O3" s="435" t="str">
        <v>In McMurdo</v>
      </c>
      <c r="P3" s="428">
        <v>43845</v>
      </c>
      <c r="Q3" s="429" t="str">
        <v>In McMurdo</v>
      </c>
      <c r="R3" s="428" t="str">
        <v>-</v>
      </c>
      <c r="S3" s="430" t="str">
        <v>-</v>
      </c>
      <c r="T3" s="431" t="str">
        <v>In McMurdo</v>
      </c>
      <c r="U3" s="431" t="str">
        <v>-</v>
      </c>
      <c r="V3" s="432" t="str">
        <v>-</v>
      </c>
      <c r="W3" s="433" t="str">
        <v>In McMurdo</v>
      </c>
      <c r="X3" s="433" t="str">
        <v>-</v>
      </c>
      <c r="Y3" s="88" t="str">
        <v>-</v>
      </c>
      <c r="Z3" s="434" t="str">
        <v>In McMurdo</v>
      </c>
      <c r="AA3" s="409" t="str">
        <v>-</v>
      </c>
      <c r="AB3" s="435" t="str">
        <v>SPoT</v>
      </c>
      <c r="AC3" s="409">
        <v>44927</v>
      </c>
      <c r="AD3" s="409" t="str">
        <v>Yes</v>
      </c>
      <c r="AE3" s="409" t="str">
        <v>In McMurdo</v>
      </c>
      <c r="AF3" s="409" t="str">
        <v>FY23 intra</v>
      </c>
      <c r="AG3" s="409" t="str">
        <v>D. Gibson</v>
      </c>
      <c r="AH3" s="409">
        <v>44475</v>
      </c>
      <c r="AI3" s="409" t="str">
        <v>I. McEwen</v>
      </c>
      <c r="AJ3" s="10">
        <v>44475</v>
      </c>
      <c r="AK3" s="10" t="str">
        <v>Gens 2 &amp; 3 need to be tranferred from ISO2 sleds that are limited to use on improved surfaces only. Will require crane for onload/offload  - use belly band to support container sidewalls during lift.</v>
      </c>
      <c r="AL3" s="9" t="str">
        <v/>
      </c>
    </row>
    <row r="4" spans="1:40" s="9" customFormat="1" ht="42.95" hidden="1" customHeight="1">
      <c r="A4" s="25">
        <v>1.2</v>
      </c>
      <c r="B4" s="48" t="str">
        <v>Drill</v>
      </c>
      <c r="C4" s="14" t="str">
        <v>Gen 3 - housed in 20' container</v>
      </c>
      <c r="D4" s="3" t="str">
        <v>Power generation unit 3 housed in 20' shipping container</v>
      </c>
      <c r="E4" s="4">
        <v>240</v>
      </c>
      <c r="F4" s="4">
        <v>96</v>
      </c>
      <c r="G4" s="4">
        <v>102</v>
      </c>
      <c r="H4" s="23">
        <v>1</v>
      </c>
      <c r="I4" s="4">
        <v>1360</v>
      </c>
      <c r="J4" s="4">
        <v>22000</v>
      </c>
      <c r="K4" s="4">
        <v>22000</v>
      </c>
      <c r="L4" s="4" t="str">
        <v>actual</v>
      </c>
      <c r="M4" s="436" t="str">
        <v/>
      </c>
      <c r="N4" s="427" t="str">
        <v xml:space="preserve"> U. Wisc. Madison</v>
      </c>
      <c r="O4" s="435" t="str">
        <v>In McMurdo</v>
      </c>
      <c r="P4" s="428">
        <v>43845</v>
      </c>
      <c r="Q4" s="429" t="str">
        <v>In McMurdo</v>
      </c>
      <c r="R4" s="428" t="str">
        <v>-</v>
      </c>
      <c r="S4" s="430" t="str">
        <v>-</v>
      </c>
      <c r="T4" s="431" t="str">
        <v>In McMurdo</v>
      </c>
      <c r="U4" s="431" t="str">
        <v>-</v>
      </c>
      <c r="V4" s="432" t="str">
        <v>-</v>
      </c>
      <c r="W4" s="433" t="str">
        <v>In McMurdo</v>
      </c>
      <c r="X4" s="433" t="str">
        <v>-</v>
      </c>
      <c r="Y4" s="88" t="str">
        <v>-</v>
      </c>
      <c r="Z4" s="434" t="str">
        <v>In McMurdo</v>
      </c>
      <c r="AA4" s="409" t="str">
        <v>-</v>
      </c>
      <c r="AB4" s="435" t="str">
        <v>SPoT</v>
      </c>
      <c r="AC4" s="409">
        <v>44896</v>
      </c>
      <c r="AD4" s="409" t="str">
        <v>Yes</v>
      </c>
      <c r="AE4" s="409" t="str">
        <v>In McMurdo</v>
      </c>
      <c r="AF4" s="409" t="str">
        <v>FY23 intra</v>
      </c>
      <c r="AG4" s="409" t="str">
        <v>D. Gibson</v>
      </c>
      <c r="AH4" s="409">
        <v>44475</v>
      </c>
      <c r="AI4" s="409" t="str">
        <v>I. McEwen</v>
      </c>
      <c r="AJ4" s="10">
        <v>44475</v>
      </c>
      <c r="AK4" s="409" t="str">
        <v>Gens 2 &amp; 3 need to be tranferred from ISO2 sleds that are limited to use on improved surfaces only. Will require crane for onload/offload  - use belly band to support container sidewalls during lift.</v>
      </c>
      <c r="AL4" s="9" t="str">
        <v/>
      </c>
    </row>
    <row r="5" spans="1:40" s="9" customFormat="1" ht="34.5" hidden="1" customHeight="1">
      <c r="A5" s="427">
        <v>1.2</v>
      </c>
      <c r="B5" s="495" t="str">
        <v>Drill</v>
      </c>
      <c r="C5" s="14" t="str">
        <v>287 Loader</v>
      </c>
      <c r="D5" s="14" t="str">
        <v>Required onsite early in FY23 for refit/pre-drill activity support unless ASC can supply dedicated loader for Upgrade use</v>
      </c>
      <c r="E5" s="10">
        <v>114</v>
      </c>
      <c r="F5" s="10">
        <v>77</v>
      </c>
      <c r="G5" s="10">
        <v>96</v>
      </c>
      <c r="H5" s="10">
        <v>1</v>
      </c>
      <c r="I5" s="4">
        <v>487.66666666666669</v>
      </c>
      <c r="J5" s="4">
        <v>10273</v>
      </c>
      <c r="K5" s="4">
        <v>10273</v>
      </c>
      <c r="L5" s="4" t="str">
        <v>actual</v>
      </c>
      <c r="M5" s="5" t="str">
        <v/>
      </c>
      <c r="N5" s="427" t="str">
        <v xml:space="preserve"> U. Wisc. Madison</v>
      </c>
      <c r="O5" s="435" t="str">
        <v>In McMurdo</v>
      </c>
      <c r="P5" s="428">
        <v>43753</v>
      </c>
      <c r="Q5" s="94" t="str">
        <v>In McMurdo</v>
      </c>
      <c r="R5" s="428">
        <v>43784</v>
      </c>
      <c r="S5" s="430" t="str">
        <v>Truck</v>
      </c>
      <c r="T5" s="431" t="str">
        <v>In McMurdo</v>
      </c>
      <c r="U5" s="431" t="str">
        <v>-</v>
      </c>
      <c r="V5" s="432" t="str">
        <v>-</v>
      </c>
      <c r="W5" s="433" t="str">
        <v>In McMurdo</v>
      </c>
      <c r="X5" s="433" t="str">
        <v>-</v>
      </c>
      <c r="Y5" s="88" t="str">
        <v>-</v>
      </c>
      <c r="Z5" s="434" t="str">
        <v>In McMurdo</v>
      </c>
      <c r="AA5" s="427" t="str">
        <v>-</v>
      </c>
      <c r="AB5" s="435" t="str">
        <v>LC-130/SPoT</v>
      </c>
      <c r="AC5" s="409">
        <v>44896</v>
      </c>
      <c r="AD5" s="409" t="str">
        <v>No*</v>
      </c>
      <c r="AE5" s="409" t="str">
        <v>In McMurdo</v>
      </c>
      <c r="AF5" s="409" t="str">
        <v>FY23 intra</v>
      </c>
      <c r="AG5" s="409" t="str">
        <v>D. Gibson</v>
      </c>
      <c r="AH5" s="409">
        <v>44476</v>
      </c>
      <c r="AI5" s="409" t="str">
        <v>I. McEwen</v>
      </c>
      <c r="AJ5" s="52">
        <v>44476</v>
      </c>
      <c r="AK5" s="409" t="str">
        <v>*Required onsite early in FY23 for refit/pre-drill activity support unless ASC can supply dedicated loader for Upgrade use</v>
      </c>
      <c r="AL5" s="9" t="str">
        <v/>
      </c>
    </row>
    <row r="6" spans="1:40" s="9" customFormat="1" ht="44.1" hidden="1" customHeight="1">
      <c r="A6" s="437">
        <v>1.2</v>
      </c>
      <c r="B6" s="446" t="str">
        <v>Drill</v>
      </c>
      <c r="C6" s="1" t="str">
        <v>Gen hoods Discharge Hoods - currently staged in McMurdo</v>
      </c>
      <c r="D6" s="438" t="str">
        <v>Generator air discharge hoods , sheet metal, loose - stored on berm at SPOTSA</v>
      </c>
      <c r="E6" s="4">
        <v>108</v>
      </c>
      <c r="F6" s="4">
        <v>53</v>
      </c>
      <c r="G6" s="4">
        <v>60</v>
      </c>
      <c r="H6" s="23">
        <v>2</v>
      </c>
      <c r="I6" s="4">
        <v>397.5</v>
      </c>
      <c r="J6" s="4">
        <v>330</v>
      </c>
      <c r="K6" s="4">
        <v>660</v>
      </c>
      <c r="L6" s="4" t="str">
        <v>actual</v>
      </c>
      <c r="M6" s="439" t="str">
        <v/>
      </c>
      <c r="N6" s="427" t="str">
        <v xml:space="preserve"> U. Wisc. Madison</v>
      </c>
      <c r="O6" s="435" t="str">
        <v>In McMurdo</v>
      </c>
      <c r="P6" s="428">
        <v>43814</v>
      </c>
      <c r="Q6" s="429" t="str">
        <v>In McMurdo</v>
      </c>
      <c r="R6" s="428" t="str">
        <v/>
      </c>
      <c r="S6" s="431" t="str">
        <v/>
      </c>
      <c r="T6" s="431" t="str">
        <v>In McMurdo</v>
      </c>
      <c r="U6" s="431" t="str">
        <v>-</v>
      </c>
      <c r="V6" s="433" t="str">
        <v>-</v>
      </c>
      <c r="W6" s="433" t="str">
        <v>In McMurdo</v>
      </c>
      <c r="X6" s="433" t="str">
        <v>-</v>
      </c>
      <c r="Y6" s="88" t="str">
        <v>-</v>
      </c>
      <c r="Z6" s="434" t="str">
        <v>In McMurdo</v>
      </c>
      <c r="AA6" s="427" t="str">
        <v>-</v>
      </c>
      <c r="AB6" s="435" t="str">
        <v>LC-130/SPoT</v>
      </c>
      <c r="AC6" s="409">
        <v>45292</v>
      </c>
      <c r="AD6" s="409" t="str">
        <v>No</v>
      </c>
      <c r="AE6" s="409" t="str">
        <v>In McMurdo</v>
      </c>
      <c r="AF6" s="409" t="str">
        <v>FY24 intra</v>
      </c>
      <c r="AG6" s="409" t="str">
        <v>D. Gibson</v>
      </c>
      <c r="AH6" s="409">
        <v>44477</v>
      </c>
      <c r="AI6" s="409" t="str">
        <v>I. McEwen</v>
      </c>
      <c r="AJ6" s="409">
        <v>44477</v>
      </c>
      <c r="AK6" s="409" t="str">
        <v>Testing/limited operation of Gens can be accomplished without hoods - Hoods required for the drill season</v>
      </c>
      <c r="AL6" s="9" t="str">
        <v/>
      </c>
    </row>
    <row r="7" spans="1:40" s="9" customFormat="1" ht="38.25" hidden="1" customHeight="1">
      <c r="A7" s="25">
        <v>1.2</v>
      </c>
      <c r="B7" s="48" t="str">
        <v>Drill</v>
      </c>
      <c r="C7" s="3" t="str">
        <v>Firn Drill</v>
      </c>
      <c r="D7" s="3" t="str">
        <v xml:space="preserve">Bermed in McM - will require McM fork or crane support. </v>
      </c>
      <c r="E7" s="23">
        <v>264</v>
      </c>
      <c r="F7" s="23">
        <v>94</v>
      </c>
      <c r="G7" s="23">
        <v>97</v>
      </c>
      <c r="H7" s="23">
        <v>1</v>
      </c>
      <c r="I7" s="4">
        <v>1393.0277777777778</v>
      </c>
      <c r="J7" s="4">
        <v>12000</v>
      </c>
      <c r="K7" s="4">
        <v>12000</v>
      </c>
      <c r="L7" s="4" t="str">
        <v>actual</v>
      </c>
      <c r="M7" s="436" t="str">
        <v/>
      </c>
      <c r="N7" s="427" t="str">
        <v xml:space="preserve"> U. Wisc. Madison</v>
      </c>
      <c r="O7" s="435" t="str">
        <v>In McMurdo</v>
      </c>
      <c r="P7" s="428">
        <v>43845</v>
      </c>
      <c r="Q7" s="429" t="str">
        <v>In McMurdo</v>
      </c>
      <c r="R7" s="428" t="str">
        <v/>
      </c>
      <c r="S7" s="431" t="str">
        <v/>
      </c>
      <c r="T7" s="431" t="str">
        <v>In McMurdo</v>
      </c>
      <c r="U7" s="431" t="str">
        <v>-</v>
      </c>
      <c r="V7" s="433" t="str">
        <v>-</v>
      </c>
      <c r="W7" s="433" t="str">
        <v>In McMurdo</v>
      </c>
      <c r="X7" s="433" t="str">
        <v>-</v>
      </c>
      <c r="Y7" s="88" t="str">
        <v>-</v>
      </c>
      <c r="Z7" s="434" t="str">
        <v>In McMurdo</v>
      </c>
      <c r="AA7" s="427" t="str">
        <v>-</v>
      </c>
      <c r="AB7" s="435" t="str">
        <v>LC-130/SPoT</v>
      </c>
      <c r="AC7" s="409">
        <v>45261</v>
      </c>
      <c r="AD7" s="409" t="str">
        <v>Yes</v>
      </c>
      <c r="AE7" s="409" t="str">
        <v>In McMurdo</v>
      </c>
      <c r="AF7" s="409" t="str">
        <v>FY24 intra</v>
      </c>
      <c r="AG7" s="409" t="str">
        <v>D. Gibson</v>
      </c>
      <c r="AH7" s="409">
        <v>44477</v>
      </c>
      <c r="AI7" s="409" t="str">
        <v>I. McEwen</v>
      </c>
      <c r="AJ7" s="409">
        <v>44477</v>
      </c>
      <c r="AK7" s="409" t="str">
        <v>Bermed in McMurdo - SPOTSA</v>
      </c>
      <c r="AL7" s="9" t="str">
        <v/>
      </c>
    </row>
    <row r="8" spans="1:40" s="9" customFormat="1" ht="17.100000000000001" hidden="1">
      <c r="A8" s="10">
        <v>1.2</v>
      </c>
      <c r="B8" s="50" t="str">
        <v>Drill</v>
      </c>
      <c r="C8" s="14" t="str">
        <v>Firn Drill Components - 1</v>
      </c>
      <c r="D8" s="14" t="str">
        <v xml:space="preserve">Firn drill sheave. Required Field Season 2 for final refit &amp; functional testing </v>
      </c>
      <c r="E8" s="4">
        <v>97</v>
      </c>
      <c r="F8" s="4">
        <v>44</v>
      </c>
      <c r="G8" s="4">
        <v>63</v>
      </c>
      <c r="H8" s="4">
        <v>1</v>
      </c>
      <c r="I8" s="4">
        <v>155.60416666666666</v>
      </c>
      <c r="J8" s="4">
        <v>920</v>
      </c>
      <c r="K8" s="4">
        <v>920</v>
      </c>
      <c r="L8" s="4" t="str">
        <v>actual</v>
      </c>
      <c r="M8" s="4" t="str">
        <v/>
      </c>
      <c r="N8" s="427" t="str">
        <v xml:space="preserve"> U. Wisc. Madison</v>
      </c>
      <c r="O8" s="435" t="str">
        <v>In McMurdo</v>
      </c>
      <c r="P8" s="428">
        <v>43845</v>
      </c>
      <c r="Q8" s="429" t="str">
        <v>In McMurdo</v>
      </c>
      <c r="R8" s="428" t="str">
        <v>-</v>
      </c>
      <c r="S8" s="431" t="str">
        <v>-</v>
      </c>
      <c r="T8" s="431" t="str">
        <v>In McMurdo</v>
      </c>
      <c r="U8" s="431" t="str">
        <v>-</v>
      </c>
      <c r="V8" s="432" t="str">
        <v>-</v>
      </c>
      <c r="W8" s="433" t="str">
        <v>In McMurdo</v>
      </c>
      <c r="X8" s="433" t="str">
        <v>-</v>
      </c>
      <c r="Y8" s="88" t="str">
        <v>-</v>
      </c>
      <c r="Z8" s="434" t="str">
        <v>In McMurdo</v>
      </c>
      <c r="AA8" s="427" t="str">
        <v>-</v>
      </c>
      <c r="AB8" s="435" t="str">
        <v>LC-130/SPoT</v>
      </c>
      <c r="AC8" s="409">
        <v>45261</v>
      </c>
      <c r="AD8" s="409" t="str">
        <v>Yes</v>
      </c>
      <c r="AE8" s="409" t="str">
        <v>In McMurdo</v>
      </c>
      <c r="AF8" s="409" t="str">
        <v>FY24 intra</v>
      </c>
      <c r="AG8" s="409" t="str">
        <v>D. Gibson</v>
      </c>
      <c r="AH8" s="409">
        <v>44477</v>
      </c>
      <c r="AI8" s="409" t="str">
        <v>I. McEwen</v>
      </c>
      <c r="AJ8" s="409">
        <v>44477</v>
      </c>
      <c r="AK8" s="409" t="str">
        <v/>
      </c>
      <c r="AL8" s="9" t="str">
        <v/>
      </c>
    </row>
    <row r="9" spans="1:40" s="9" customFormat="1" ht="17.100000000000001" hidden="1">
      <c r="A9" s="10">
        <v>1.2</v>
      </c>
      <c r="B9" s="50" t="str">
        <v>Drill</v>
      </c>
      <c r="C9" s="14" t="str">
        <v>Firn Drill Components - 2</v>
      </c>
      <c r="D9" s="14" t="str">
        <v xml:space="preserve">Firn drill drillhead. Required Field Season 2 for final refit &amp; functional testing </v>
      </c>
      <c r="E9" s="4">
        <v>125</v>
      </c>
      <c r="F9" s="4">
        <v>33</v>
      </c>
      <c r="G9" s="4">
        <v>37</v>
      </c>
      <c r="H9" s="4">
        <v>1</v>
      </c>
      <c r="I9" s="4">
        <v>88.324652777777771</v>
      </c>
      <c r="J9" s="4">
        <v>1048</v>
      </c>
      <c r="K9" s="4">
        <v>1048</v>
      </c>
      <c r="L9" s="4" t="str">
        <v>actual</v>
      </c>
      <c r="M9" s="4" t="str">
        <v/>
      </c>
      <c r="N9" s="427" t="str">
        <v xml:space="preserve"> U. Wisc. Madison</v>
      </c>
      <c r="O9" s="435" t="str">
        <v>In McMurdo</v>
      </c>
      <c r="P9" s="428">
        <v>43845</v>
      </c>
      <c r="Q9" s="429" t="str">
        <v>In McMurdo</v>
      </c>
      <c r="R9" s="428" t="str">
        <v>-</v>
      </c>
      <c r="S9" s="431" t="str">
        <v>-</v>
      </c>
      <c r="T9" s="431" t="str">
        <v>In McMurdo</v>
      </c>
      <c r="U9" s="431" t="str">
        <v>-</v>
      </c>
      <c r="V9" s="432" t="str">
        <v>-</v>
      </c>
      <c r="W9" s="433" t="str">
        <v>In McMurdo</v>
      </c>
      <c r="X9" s="433" t="str">
        <v>-</v>
      </c>
      <c r="Y9" s="88" t="str">
        <v>-</v>
      </c>
      <c r="Z9" s="434" t="str">
        <v>In McMurdo</v>
      </c>
      <c r="AA9" s="427" t="str">
        <v>-</v>
      </c>
      <c r="AB9" s="435" t="str">
        <v>LC-130/SPoT</v>
      </c>
      <c r="AC9" s="409">
        <v>45261</v>
      </c>
      <c r="AD9" s="409" t="str">
        <v>Yes</v>
      </c>
      <c r="AE9" s="409" t="str">
        <v>In McMurdo</v>
      </c>
      <c r="AF9" s="409" t="str">
        <v>FY24 intra</v>
      </c>
      <c r="AG9" s="409" t="str">
        <v>D. Gibson</v>
      </c>
      <c r="AH9" s="409">
        <v>44477</v>
      </c>
      <c r="AI9" s="409" t="str">
        <v>I. McEwen</v>
      </c>
      <c r="AJ9" s="409">
        <v>44477</v>
      </c>
      <c r="AK9" s="409" t="str">
        <v/>
      </c>
      <c r="AL9" s="9" t="str">
        <v/>
      </c>
    </row>
    <row r="10" spans="1:40" s="91" customFormat="1" ht="31.5" hidden="1" customHeight="1">
      <c r="A10" s="25">
        <v>1.2</v>
      </c>
      <c r="B10" s="48" t="str">
        <v>Drill</v>
      </c>
      <c r="C10" s="3" t="str">
        <v>Weight stack and crates</v>
      </c>
      <c r="D10" s="3" t="str">
        <v>Bermed in McM - will require McM fork support. Drill head weight stack and remaining bermed crates at SPoTSA</v>
      </c>
      <c r="E10" s="23">
        <v>120</v>
      </c>
      <c r="F10" s="23">
        <v>48</v>
      </c>
      <c r="G10" s="23">
        <v>48</v>
      </c>
      <c r="H10" s="23">
        <v>1</v>
      </c>
      <c r="I10" s="4">
        <v>160</v>
      </c>
      <c r="J10" s="4">
        <v>600</v>
      </c>
      <c r="K10" s="4">
        <v>600</v>
      </c>
      <c r="L10" s="4" t="str">
        <v>actual</v>
      </c>
      <c r="M10" s="436" t="str">
        <v/>
      </c>
      <c r="N10" s="427" t="str">
        <v xml:space="preserve"> U. Wisc. Madison</v>
      </c>
      <c r="O10" s="435" t="str">
        <v>In McMurdo</v>
      </c>
      <c r="P10" s="428">
        <v>43845</v>
      </c>
      <c r="Q10" s="429" t="str">
        <v>In McMurdo</v>
      </c>
      <c r="R10" s="428" t="str">
        <v/>
      </c>
      <c r="S10" s="431" t="str">
        <v/>
      </c>
      <c r="T10" s="431" t="str">
        <v>In McMurdo</v>
      </c>
      <c r="U10" s="431" t="str">
        <v>-</v>
      </c>
      <c r="V10" s="433" t="str">
        <v>-</v>
      </c>
      <c r="W10" s="433" t="str">
        <v>In McMurdo</v>
      </c>
      <c r="X10" s="433" t="str">
        <v>-</v>
      </c>
      <c r="Y10" s="88" t="str">
        <v>-</v>
      </c>
      <c r="Z10" s="434" t="str">
        <v>In McMurdo</v>
      </c>
      <c r="AA10" s="427" t="str">
        <v>-</v>
      </c>
      <c r="AB10" s="435" t="str">
        <v>LC-130/SPoT</v>
      </c>
      <c r="AC10" s="409">
        <v>45275</v>
      </c>
      <c r="AD10" s="409" t="str">
        <v>No</v>
      </c>
      <c r="AE10" s="409" t="str">
        <v>In McMurdo</v>
      </c>
      <c r="AF10" s="409" t="str">
        <v>FY24 intra</v>
      </c>
      <c r="AG10" s="409" t="str">
        <v>D. Gibson</v>
      </c>
      <c r="AH10" s="409">
        <v>44477</v>
      </c>
      <c r="AI10" s="409" t="str">
        <v>I. McEwen</v>
      </c>
      <c r="AJ10" s="409">
        <v>44477</v>
      </c>
      <c r="AK10" s="409" t="str">
        <v>Bermed in McMurdo - SPOTSA on UNL flatrack</v>
      </c>
      <c r="AL10" s="9" t="str">
        <v/>
      </c>
      <c r="AM10" s="9"/>
      <c r="AN10" s="9"/>
    </row>
    <row r="11" spans="1:40" s="9" customFormat="1" ht="44.1" hidden="1" customHeight="1">
      <c r="A11" s="25">
        <v>1.2</v>
      </c>
      <c r="B11" s="48" t="str">
        <v>Drill</v>
      </c>
      <c r="C11" s="3" t="str">
        <v>Fuel Tower</v>
      </c>
      <c r="D11" s="3" t="str">
        <v xml:space="preserve">Bermed in McM - will require McM fork or crane support. </v>
      </c>
      <c r="E11" s="23">
        <v>96</v>
      </c>
      <c r="F11" s="23">
        <v>72</v>
      </c>
      <c r="G11" s="23">
        <v>120</v>
      </c>
      <c r="H11" s="23">
        <v>1</v>
      </c>
      <c r="I11" s="4">
        <v>480</v>
      </c>
      <c r="J11" s="4">
        <v>1500</v>
      </c>
      <c r="K11" s="4">
        <v>1500</v>
      </c>
      <c r="L11" s="4" t="str">
        <v>actual</v>
      </c>
      <c r="M11" s="436" t="str">
        <v/>
      </c>
      <c r="N11" s="427" t="str">
        <v xml:space="preserve"> U. Wisc. Madison</v>
      </c>
      <c r="O11" s="435" t="str">
        <v>In McMurdo</v>
      </c>
      <c r="P11" s="428">
        <v>43845</v>
      </c>
      <c r="Q11" s="429" t="str">
        <v>In McMurdo</v>
      </c>
      <c r="R11" s="428" t="str">
        <v>-</v>
      </c>
      <c r="S11" s="431" t="str">
        <v>-</v>
      </c>
      <c r="T11" s="431" t="str">
        <v>In McMurdo</v>
      </c>
      <c r="U11" s="431" t="str">
        <v>-</v>
      </c>
      <c r="V11" s="433" t="str">
        <v>-</v>
      </c>
      <c r="W11" s="433" t="str">
        <v>In McMurdo</v>
      </c>
      <c r="X11" s="433" t="str">
        <v>-</v>
      </c>
      <c r="Y11" s="88" t="str">
        <v>-</v>
      </c>
      <c r="Z11" s="434" t="str">
        <v>In McMurdo</v>
      </c>
      <c r="AA11" s="427" t="str">
        <v>-</v>
      </c>
      <c r="AB11" s="435" t="str">
        <v>LC-130/SPoT</v>
      </c>
      <c r="AC11" s="409">
        <v>44927</v>
      </c>
      <c r="AD11" s="409" t="str">
        <v>Yes</v>
      </c>
      <c r="AE11" s="409" t="str">
        <v>In McMurdo</v>
      </c>
      <c r="AF11" s="409" t="str">
        <v>FY23 intra</v>
      </c>
      <c r="AG11" s="409" t="str">
        <v>D. Gibson</v>
      </c>
      <c r="AH11" s="409">
        <v>44477</v>
      </c>
      <c r="AI11" s="409" t="str">
        <v>I. McEwen</v>
      </c>
      <c r="AJ11" s="409">
        <v>44477</v>
      </c>
      <c r="AK11" s="409" t="str">
        <v>Bermed in McMurdo - SPOTSA on UNL flatrack - overland shipment preferred due to complexities of air transport certification - can be laid on side once drained</v>
      </c>
      <c r="AL11" s="9" t="str">
        <v/>
      </c>
    </row>
    <row r="12" spans="1:40" s="9" customFormat="1" ht="51" hidden="1">
      <c r="A12" s="25">
        <v>1.2</v>
      </c>
      <c r="B12" s="48" t="str">
        <v>Drill</v>
      </c>
      <c r="C12" s="3" t="str">
        <v>HPU 1</v>
      </c>
      <c r="D12" s="3" t="str">
        <v>HPU 1 (University of Nebraska - Lincoln asset) - 40' container housing heating plant on ISO sled</v>
      </c>
      <c r="E12" s="23">
        <v>480</v>
      </c>
      <c r="F12" s="23">
        <v>96</v>
      </c>
      <c r="G12" s="23">
        <v>102</v>
      </c>
      <c r="H12" s="23">
        <v>1</v>
      </c>
      <c r="I12" s="4">
        <v>2720</v>
      </c>
      <c r="J12" s="4">
        <v>28000</v>
      </c>
      <c r="K12" s="4">
        <v>28000</v>
      </c>
      <c r="L12" s="4" t="str">
        <v>actual</v>
      </c>
      <c r="M12" s="436" t="str">
        <v/>
      </c>
      <c r="N12" s="427" t="str">
        <v xml:space="preserve"> U. Wisc. Madison</v>
      </c>
      <c r="O12" s="435" t="str">
        <v>In McMurdo</v>
      </c>
      <c r="P12" s="428">
        <v>43845</v>
      </c>
      <c r="Q12" s="429" t="str">
        <v>In McMurdo</v>
      </c>
      <c r="R12" s="428" t="str">
        <v/>
      </c>
      <c r="S12" s="431" t="str">
        <v/>
      </c>
      <c r="T12" s="431" t="str">
        <v>In McMurdo</v>
      </c>
      <c r="U12" s="431" t="str">
        <v>-</v>
      </c>
      <c r="V12" s="433" t="str">
        <v>-</v>
      </c>
      <c r="W12" s="433" t="str">
        <v>In McMurdo</v>
      </c>
      <c r="X12" s="433" t="str">
        <v>-</v>
      </c>
      <c r="Y12" s="88" t="str">
        <v>-</v>
      </c>
      <c r="Z12" s="434" t="str">
        <v>In McMurdo</v>
      </c>
      <c r="AA12" s="409" t="str">
        <v>-</v>
      </c>
      <c r="AB12" s="435" t="str">
        <v>SPoT</v>
      </c>
      <c r="AC12" s="409">
        <v>45292</v>
      </c>
      <c r="AD12" s="409" t="str">
        <v>Yes</v>
      </c>
      <c r="AE12" s="409" t="str">
        <v>In McMurdo</v>
      </c>
      <c r="AF12" s="409" t="str">
        <v>FY24 intra</v>
      </c>
      <c r="AG12" s="409" t="str">
        <v>D. Gibson</v>
      </c>
      <c r="AH12" s="409">
        <v>44477</v>
      </c>
      <c r="AI12" s="409" t="str">
        <v>I. McEwen</v>
      </c>
      <c r="AJ12" s="409">
        <v>44477</v>
      </c>
      <c r="AK12" s="409" t="str">
        <v xml:space="preserve">HPU 1 integration with Rodwell system required before drill season on it's own sled which will require evaluation and repair - Stored at SPOTSA </v>
      </c>
      <c r="AL12" s="9" t="str">
        <v/>
      </c>
    </row>
    <row r="13" spans="1:40" s="91" customFormat="1" ht="31.5" hidden="1" customHeight="1" thickBot="1">
      <c r="A13" s="53" t="str">
        <v/>
      </c>
      <c r="B13" s="53" t="str">
        <v/>
      </c>
      <c r="C13" s="54" t="str">
        <v>McMurdo totals:</v>
      </c>
      <c r="D13" s="55" t="str">
        <v/>
      </c>
      <c r="E13" s="44" t="str">
        <v/>
      </c>
      <c r="F13" s="44" t="str">
        <v/>
      </c>
      <c r="G13" s="44" t="str">
        <v>TEU=&gt;</v>
      </c>
      <c r="H13" s="56">
        <v>10.464415193160601</v>
      </c>
      <c r="I13" s="57">
        <v>9962.1232638888905</v>
      </c>
      <c r="J13" s="57" t="str">
        <v/>
      </c>
      <c r="K13" s="44">
        <v>121001</v>
      </c>
      <c r="L13" s="44" t="str">
        <v/>
      </c>
      <c r="M13" s="44" t="str">
        <v/>
      </c>
      <c r="N13" s="58" t="str">
        <v/>
      </c>
      <c r="O13" s="77" t="str">
        <v/>
      </c>
      <c r="P13" s="59" t="str">
        <v/>
      </c>
      <c r="Q13" s="77" t="str">
        <v/>
      </c>
      <c r="R13" s="60" t="str">
        <v/>
      </c>
      <c r="S13" s="59" t="str">
        <v/>
      </c>
      <c r="T13" s="60" t="str">
        <v/>
      </c>
      <c r="U13" s="60" t="str">
        <v/>
      </c>
      <c r="V13" s="59" t="str">
        <v/>
      </c>
      <c r="W13" s="60" t="str">
        <v/>
      </c>
      <c r="X13" s="60" t="str">
        <v/>
      </c>
      <c r="Y13" s="77" t="str">
        <v/>
      </c>
      <c r="Z13" s="60" t="str">
        <v/>
      </c>
      <c r="AA13" s="60" t="str">
        <v/>
      </c>
      <c r="AB13" s="77" t="str">
        <v/>
      </c>
      <c r="AC13" s="59" t="str">
        <v/>
      </c>
      <c r="AD13" s="77" t="str">
        <v/>
      </c>
      <c r="AE13" s="59" t="str">
        <v/>
      </c>
      <c r="AF13" s="59" t="str">
        <v/>
      </c>
      <c r="AG13" s="59" t="str">
        <v/>
      </c>
      <c r="AH13" s="59" t="str">
        <v/>
      </c>
      <c r="AI13" s="59" t="str">
        <v/>
      </c>
      <c r="AJ13" s="59" t="str">
        <v/>
      </c>
      <c r="AK13" s="59" t="str">
        <v/>
      </c>
      <c r="AL13" s="11" t="str">
        <v/>
      </c>
      <c r="AM13" s="11"/>
      <c r="AN13" s="11"/>
    </row>
    <row r="14" spans="1:40" s="9" customFormat="1" ht="51" hidden="1">
      <c r="A14" s="24">
        <v>1.2</v>
      </c>
      <c r="B14" s="50" t="str">
        <v>Drill</v>
      </c>
      <c r="C14" s="17" t="str">
        <v>Container Ski Stack (comprised of 5 sleds) -  currently staged in Pt. Hueneme</v>
      </c>
      <c r="D14" s="17" t="str">
        <v>Five sets of aluminum skis for 20' containers - stacked. Aluminum skis for drill containers. Required onsite for local movement of Gens and PDM.</v>
      </c>
      <c r="E14" s="22">
        <v>240</v>
      </c>
      <c r="F14" s="22">
        <v>96</v>
      </c>
      <c r="G14" s="22">
        <v>96</v>
      </c>
      <c r="H14" s="22">
        <v>1</v>
      </c>
      <c r="I14" s="22">
        <v>1280</v>
      </c>
      <c r="J14" s="22">
        <v>4255</v>
      </c>
      <c r="K14" s="4">
        <v>4255</v>
      </c>
      <c r="L14" s="22" t="str">
        <v>actual</v>
      </c>
      <c r="M14" s="22" t="str">
        <v/>
      </c>
      <c r="N14" s="24" t="str">
        <v xml:space="preserve"> U. Wisc. Madison</v>
      </c>
      <c r="O14" s="96" t="str">
        <v>Already at PTH</v>
      </c>
      <c r="P14" s="428">
        <v>44193</v>
      </c>
      <c r="Q14" s="94" t="str">
        <v>Already at PTH</v>
      </c>
      <c r="R14" s="428">
        <v>44211</v>
      </c>
      <c r="S14" s="430" t="str">
        <v>Truck</v>
      </c>
      <c r="T14" s="12" t="str">
        <v>PTH - MCM</v>
      </c>
      <c r="U14" s="431" t="str">
        <v>-</v>
      </c>
      <c r="V14" s="432" t="str">
        <v>USAP Vessel</v>
      </c>
      <c r="W14" s="433" t="str">
        <v>USAP Vessel</v>
      </c>
      <c r="X14" s="433" t="str">
        <v>-</v>
      </c>
      <c r="Y14" s="100" t="str">
        <v>-</v>
      </c>
      <c r="Z14" s="434">
        <v>44598</v>
      </c>
      <c r="AA14" s="427" t="str">
        <v>-</v>
      </c>
      <c r="AB14" s="435" t="str">
        <v>LC-130/SPoT</v>
      </c>
      <c r="AC14" s="409">
        <v>44910</v>
      </c>
      <c r="AD14" s="409" t="str">
        <v>No*</v>
      </c>
      <c r="AE14" s="409" t="str">
        <v>FY22 inter</v>
      </c>
      <c r="AF14" s="409" t="str">
        <v>FY23 intra</v>
      </c>
      <c r="AG14" s="409" t="str">
        <v>D. Gibson</v>
      </c>
      <c r="AH14" s="409">
        <v>44477</v>
      </c>
      <c r="AI14" s="409" t="str">
        <v>I. McEwen</v>
      </c>
      <c r="AJ14" s="409">
        <v>44477</v>
      </c>
      <c r="AK14" s="409" t="str">
        <v>*While this shipment is not on the critical path additional ASC crane support will be required to overcome delayed arrival or sleds furnished from the South Pole inventory</v>
      </c>
      <c r="AL14" s="9" t="str">
        <v/>
      </c>
    </row>
    <row r="15" spans="1:40" s="9" customFormat="1" ht="33.950000000000003" hidden="1">
      <c r="A15" s="10">
        <v>1.2</v>
      </c>
      <c r="B15" s="50" t="str">
        <v>Drill</v>
      </c>
      <c r="C15" s="14" t="str">
        <v>Generator Intake Hood - currently staged in Pt. Hueneme</v>
      </c>
      <c r="D15" s="14" t="str">
        <v>Light weight large volume sheet metal stacks for generator ventilation</v>
      </c>
      <c r="E15" s="4">
        <v>174</v>
      </c>
      <c r="F15" s="4">
        <v>53</v>
      </c>
      <c r="G15" s="4">
        <v>96</v>
      </c>
      <c r="H15" s="4">
        <v>3</v>
      </c>
      <c r="I15" s="22">
        <v>1537</v>
      </c>
      <c r="J15" s="22">
        <v>586.66666666666663</v>
      </c>
      <c r="K15" s="4">
        <v>1760</v>
      </c>
      <c r="L15" s="22" t="str">
        <v>actual</v>
      </c>
      <c r="M15" s="441" t="str">
        <v/>
      </c>
      <c r="N15" s="427" t="str">
        <v xml:space="preserve"> U. Wisc. Madison</v>
      </c>
      <c r="O15" s="435" t="str">
        <v>Already at PTH</v>
      </c>
      <c r="P15" s="428">
        <v>44112</v>
      </c>
      <c r="Q15" s="94" t="str">
        <v>Already at PTH</v>
      </c>
      <c r="R15" s="428">
        <v>44159</v>
      </c>
      <c r="S15" s="430" t="str">
        <v>Truck</v>
      </c>
      <c r="T15" s="12" t="str">
        <v>PTH - MCM</v>
      </c>
      <c r="U15" s="431" t="str">
        <v>-</v>
      </c>
      <c r="V15" s="432" t="str">
        <v>USAP Vessel</v>
      </c>
      <c r="W15" s="433" t="str">
        <v>USAP Vessel</v>
      </c>
      <c r="X15" s="433" t="str">
        <v>-</v>
      </c>
      <c r="Y15" s="100" t="str">
        <v>-</v>
      </c>
      <c r="Z15" s="434">
        <v>44963</v>
      </c>
      <c r="AA15" s="409" t="str">
        <v>-</v>
      </c>
      <c r="AB15" s="435" t="str">
        <v>LC-130/SPoT</v>
      </c>
      <c r="AC15" s="409">
        <v>45292</v>
      </c>
      <c r="AD15" s="409" t="str">
        <v>Yes</v>
      </c>
      <c r="AE15" s="409" t="str">
        <v>FY23 inter</v>
      </c>
      <c r="AF15" s="61" t="str">
        <v>FY24 intra</v>
      </c>
      <c r="AG15" s="61" t="str">
        <v>D. Gibson</v>
      </c>
      <c r="AH15" s="61">
        <v>44477</v>
      </c>
      <c r="AI15" s="61" t="str">
        <v>I. McEwen</v>
      </c>
      <c r="AJ15" s="409">
        <v>44477</v>
      </c>
      <c r="AK15" s="409" t="str">
        <v/>
      </c>
      <c r="AL15" s="9" t="str">
        <v/>
      </c>
    </row>
    <row r="16" spans="1:40" s="9" customFormat="1" ht="33.950000000000003" hidden="1">
      <c r="A16" s="10">
        <v>1.2</v>
      </c>
      <c r="B16" s="50" t="str">
        <v>Drill</v>
      </c>
      <c r="C16" s="14" t="str">
        <v>Generator Discharge Hoods - currently staged in Pt. Hueneme</v>
      </c>
      <c r="D16" s="14" t="str">
        <v>Light weight large volume sheet metal stacks for generator ventilation</v>
      </c>
      <c r="E16" s="4">
        <v>108</v>
      </c>
      <c r="F16" s="4">
        <v>53</v>
      </c>
      <c r="G16" s="4">
        <v>60</v>
      </c>
      <c r="H16" s="4">
        <v>2</v>
      </c>
      <c r="I16" s="22">
        <v>397.5</v>
      </c>
      <c r="J16" s="22">
        <v>1210</v>
      </c>
      <c r="K16" s="4">
        <v>2420</v>
      </c>
      <c r="L16" s="22" t="str">
        <v>actual</v>
      </c>
      <c r="M16" s="441" t="str">
        <v/>
      </c>
      <c r="N16" s="427" t="str">
        <v xml:space="preserve"> U. Wisc. Madison</v>
      </c>
      <c r="O16" s="435" t="str">
        <v>Already at PTH</v>
      </c>
      <c r="P16" s="428">
        <v>44112</v>
      </c>
      <c r="Q16" s="94" t="str">
        <v>Already at PTH</v>
      </c>
      <c r="R16" s="428">
        <v>44159</v>
      </c>
      <c r="S16" s="430" t="str">
        <v>Truck</v>
      </c>
      <c r="T16" s="12" t="str">
        <v>PTH - MCM</v>
      </c>
      <c r="U16" s="431" t="str">
        <v>-</v>
      </c>
      <c r="V16" s="432" t="str">
        <v>USAP Vessel</v>
      </c>
      <c r="W16" s="433" t="str">
        <v>USAP Vessel</v>
      </c>
      <c r="X16" s="433" t="str">
        <v>-</v>
      </c>
      <c r="Y16" s="100" t="str">
        <v>-</v>
      </c>
      <c r="Z16" s="434">
        <v>44963</v>
      </c>
      <c r="AA16" s="409" t="str">
        <v>-</v>
      </c>
      <c r="AB16" s="435" t="str">
        <v>LC-130/SPoT</v>
      </c>
      <c r="AC16" s="409">
        <v>45292</v>
      </c>
      <c r="AD16" s="409" t="str">
        <v>Yes</v>
      </c>
      <c r="AE16" s="409" t="str">
        <v>FY23 inter</v>
      </c>
      <c r="AF16" s="61" t="str">
        <v>FY24 intra</v>
      </c>
      <c r="AG16" s="61" t="str">
        <v>D. Gibson</v>
      </c>
      <c r="AH16" s="61">
        <v>44477</v>
      </c>
      <c r="AI16" s="61" t="str">
        <v>I. McEwen</v>
      </c>
      <c r="AJ16" s="409">
        <v>44477</v>
      </c>
      <c r="AK16" s="409" t="str">
        <v/>
      </c>
      <c r="AL16" s="9" t="str">
        <v/>
      </c>
    </row>
    <row r="17" spans="1:40" s="9" customFormat="1" ht="34.35" hidden="1" customHeight="1">
      <c r="A17" s="10">
        <v>1.2</v>
      </c>
      <c r="B17" s="50" t="str">
        <v>Drill</v>
      </c>
      <c r="C17" s="17" t="str">
        <v>Drill Hose  - currently staged in Pt. Hueneme</v>
      </c>
      <c r="D17" s="14" t="str">
        <v>Drill hose - 9 Spools - 348 cf / 3532 lbs each - Shipped from Italy</v>
      </c>
      <c r="E17" s="4">
        <v>92</v>
      </c>
      <c r="F17" s="4">
        <v>92</v>
      </c>
      <c r="G17" s="4">
        <v>70.5</v>
      </c>
      <c r="H17" s="4">
        <v>9</v>
      </c>
      <c r="I17" s="22">
        <v>3107.875</v>
      </c>
      <c r="J17" s="22">
        <v>3531.5555555555557</v>
      </c>
      <c r="K17" s="4">
        <v>31784</v>
      </c>
      <c r="L17" s="22" t="str">
        <v>actual</v>
      </c>
      <c r="M17" s="441" t="str">
        <v/>
      </c>
      <c r="N17" s="427" t="str">
        <v xml:space="preserve"> U. Wisc. Madison</v>
      </c>
      <c r="O17" s="435" t="str">
        <v>Already at PTH</v>
      </c>
      <c r="P17" s="428">
        <v>44041</v>
      </c>
      <c r="Q17" s="94" t="str">
        <v>Already at PTH</v>
      </c>
      <c r="R17" s="428">
        <v>44058</v>
      </c>
      <c r="S17" s="430" t="str">
        <v>Truck</v>
      </c>
      <c r="T17" s="12" t="str">
        <v>PTH - MCM</v>
      </c>
      <c r="U17" s="431" t="str">
        <v>-</v>
      </c>
      <c r="V17" s="432" t="str">
        <v>USAP Vessel</v>
      </c>
      <c r="W17" s="433" t="str">
        <v>USAP Vessel</v>
      </c>
      <c r="X17" s="433" t="str">
        <v>-</v>
      </c>
      <c r="Y17" s="100" t="str">
        <v>-</v>
      </c>
      <c r="Z17" s="434">
        <v>44963</v>
      </c>
      <c r="AA17" s="427" t="str">
        <v>-</v>
      </c>
      <c r="AB17" s="435" t="str">
        <v>LC-130/SPoT</v>
      </c>
      <c r="AC17" s="409">
        <v>45292</v>
      </c>
      <c r="AD17" s="409" t="str">
        <v>Yes</v>
      </c>
      <c r="AE17" s="409" t="str">
        <v>FY23 inter</v>
      </c>
      <c r="AF17" s="61" t="str">
        <v>FY24 intra</v>
      </c>
      <c r="AG17" s="61" t="str">
        <v>D. Gibson</v>
      </c>
      <c r="AH17" s="61">
        <v>44477</v>
      </c>
      <c r="AI17" s="61" t="str">
        <v>I. McEwen</v>
      </c>
      <c r="AJ17" s="409">
        <v>44477</v>
      </c>
      <c r="AK17" s="409" t="str">
        <v>Hose to be installed on Main Supply Hose Reel upon arrival at Pole</v>
      </c>
      <c r="AL17" s="9" t="str">
        <v/>
      </c>
    </row>
    <row r="18" spans="1:40" s="9" customFormat="1" ht="34.35" hidden="1" customHeight="1">
      <c r="A18" s="10">
        <v>1.2</v>
      </c>
      <c r="B18" s="50" t="str">
        <v>Drill</v>
      </c>
      <c r="C18" s="17" t="str">
        <v>Drill Hose  - currently staged in Pt. Hueneme</v>
      </c>
      <c r="D18" s="14" t="str">
        <v>Drill hose - 3 Spools - 348 cf / 5001 lbs each - Shipped from PSL</v>
      </c>
      <c r="E18" s="4">
        <v>92</v>
      </c>
      <c r="F18" s="4">
        <v>92</v>
      </c>
      <c r="G18" s="4">
        <v>70.5</v>
      </c>
      <c r="H18" s="4">
        <v>3</v>
      </c>
      <c r="I18" s="22">
        <v>1035.9583333333335</v>
      </c>
      <c r="J18" s="22">
        <v>5001</v>
      </c>
      <c r="K18" s="4">
        <v>15003</v>
      </c>
      <c r="L18" s="22" t="str">
        <v>actual</v>
      </c>
      <c r="M18" s="441" t="str">
        <v/>
      </c>
      <c r="N18" s="427" t="str">
        <v xml:space="preserve"> U. Wisc. Madison</v>
      </c>
      <c r="O18" s="435" t="str">
        <v>Already at PTH</v>
      </c>
      <c r="P18" s="428">
        <v>44154</v>
      </c>
      <c r="Q18" s="94" t="str">
        <v>Already at PTH</v>
      </c>
      <c r="R18" s="428">
        <v>44211</v>
      </c>
      <c r="S18" s="430" t="str">
        <v>Truck</v>
      </c>
      <c r="T18" s="12" t="str">
        <v>PTH - MCM</v>
      </c>
      <c r="U18" s="431" t="str">
        <v>-</v>
      </c>
      <c r="V18" s="432" t="str">
        <v>USAP Vessel</v>
      </c>
      <c r="W18" s="433" t="str">
        <v>USAP Vessel</v>
      </c>
      <c r="X18" s="433" t="str">
        <v>-</v>
      </c>
      <c r="Y18" s="100" t="str">
        <v>-</v>
      </c>
      <c r="Z18" s="434">
        <v>44963</v>
      </c>
      <c r="AA18" s="427" t="str">
        <v>-</v>
      </c>
      <c r="AB18" s="435" t="str">
        <v>LC-130/SPoT</v>
      </c>
      <c r="AC18" s="409">
        <v>45292</v>
      </c>
      <c r="AD18" s="409" t="str">
        <v>Yes</v>
      </c>
      <c r="AE18" s="409" t="str">
        <v>FY23 inter</v>
      </c>
      <c r="AF18" s="61" t="str">
        <v>FY24 intra</v>
      </c>
      <c r="AG18" s="61" t="str">
        <v>D. Gibson</v>
      </c>
      <c r="AH18" s="61">
        <v>44477</v>
      </c>
      <c r="AI18" s="61" t="str">
        <v>I. McEwen</v>
      </c>
      <c r="AJ18" s="409">
        <v>44477</v>
      </c>
      <c r="AK18" s="409" t="str">
        <v>Hose to be installed on Main Supply Hose Reel upon arrival at Pole</v>
      </c>
      <c r="AL18" s="9" t="str">
        <v/>
      </c>
    </row>
    <row r="19" spans="1:40" s="91" customFormat="1" ht="53.1" hidden="1" customHeight="1" thickBot="1">
      <c r="A19" s="53" t="str">
        <v/>
      </c>
      <c r="B19" s="53" t="str">
        <v/>
      </c>
      <c r="C19" s="54" t="str">
        <v>Pt. Hueneme totals:</v>
      </c>
      <c r="D19" s="62" t="str">
        <v/>
      </c>
      <c r="E19" s="63" t="str">
        <v/>
      </c>
      <c r="F19" s="64" t="str">
        <v/>
      </c>
      <c r="G19" s="44" t="str">
        <v>TEU=&gt;</v>
      </c>
      <c r="H19" s="63">
        <v>7.7293417366946793</v>
      </c>
      <c r="I19" s="57">
        <v>7358.3333333333339</v>
      </c>
      <c r="J19" s="57" t="str">
        <v/>
      </c>
      <c r="K19" s="58">
        <v>55222</v>
      </c>
      <c r="L19" s="58" t="str">
        <v/>
      </c>
      <c r="M19" s="58" t="str">
        <v/>
      </c>
      <c r="N19" s="58" t="str">
        <v/>
      </c>
      <c r="O19" s="77" t="str">
        <v/>
      </c>
      <c r="P19" s="59" t="str">
        <v/>
      </c>
      <c r="Q19" s="77" t="str">
        <v/>
      </c>
      <c r="R19" s="60" t="str">
        <v/>
      </c>
      <c r="S19" s="59" t="str">
        <v/>
      </c>
      <c r="T19" s="60" t="str">
        <v/>
      </c>
      <c r="U19" s="60" t="str">
        <v/>
      </c>
      <c r="V19" s="59" t="str">
        <v/>
      </c>
      <c r="W19" s="60" t="str">
        <v/>
      </c>
      <c r="X19" s="60" t="str">
        <v/>
      </c>
      <c r="Y19" s="77" t="str">
        <v/>
      </c>
      <c r="Z19" s="60" t="str">
        <v/>
      </c>
      <c r="AA19" s="60" t="str">
        <v/>
      </c>
      <c r="AB19" s="77" t="str">
        <v/>
      </c>
      <c r="AC19" s="59" t="str">
        <v/>
      </c>
      <c r="AD19" s="77" t="str">
        <v/>
      </c>
      <c r="AE19" s="59" t="str">
        <v/>
      </c>
      <c r="AF19" s="59" t="str">
        <v/>
      </c>
      <c r="AG19" s="59" t="str">
        <v/>
      </c>
      <c r="AH19" s="59" t="str">
        <v/>
      </c>
      <c r="AI19" s="59" t="str">
        <v/>
      </c>
      <c r="AJ19" s="59" t="str">
        <v/>
      </c>
      <c r="AK19" s="59" t="str">
        <v/>
      </c>
      <c r="AL19" s="11" t="str">
        <v/>
      </c>
      <c r="AM19" s="11"/>
      <c r="AN19" s="11"/>
    </row>
    <row r="20" spans="1:40" s="9" customFormat="1" ht="39.75" hidden="1" customHeight="1" thickTop="1">
      <c r="A20" s="24">
        <v>1.2</v>
      </c>
      <c r="B20" s="50" t="str">
        <v>Drill</v>
      </c>
      <c r="C20" s="17" t="str">
        <v>8' Refit Container</v>
      </c>
      <c r="D20" s="17" t="str">
        <v>Priority refit materials including tools, flowmeter assemblies, motor drive installation kits, hardware, fittings, sensors, &amp; consumables</v>
      </c>
      <c r="E20" s="22">
        <v>96</v>
      </c>
      <c r="F20" s="22">
        <v>86</v>
      </c>
      <c r="G20" s="22">
        <v>96</v>
      </c>
      <c r="H20" s="22">
        <v>1</v>
      </c>
      <c r="I20" s="22">
        <v>458.66666666666669</v>
      </c>
      <c r="J20" s="22">
        <v>5600</v>
      </c>
      <c r="K20" s="4">
        <v>5600</v>
      </c>
      <c r="L20" s="442" t="str">
        <v>estimated</v>
      </c>
      <c r="M20" s="442" t="str">
        <v/>
      </c>
      <c r="N20" s="434" t="str">
        <v xml:space="preserve"> U. Wisc. Madison</v>
      </c>
      <c r="O20" s="426">
        <v>12</v>
      </c>
      <c r="P20" s="443">
        <v>44503</v>
      </c>
      <c r="Q20" s="429" t="str">
        <v>UWM - PTH</v>
      </c>
      <c r="R20" s="428">
        <v>44515</v>
      </c>
      <c r="S20" s="430" t="str">
        <v xml:space="preserve"> Truck</v>
      </c>
      <c r="T20" s="440" t="str">
        <v>PTH - MCM</v>
      </c>
      <c r="U20" s="47" t="str">
        <v>-</v>
      </c>
      <c r="V20" s="432" t="str">
        <v>USAP Vessel</v>
      </c>
      <c r="W20" s="433" t="str">
        <v>USAP Vessel</v>
      </c>
      <c r="X20" s="433" t="str">
        <v>-</v>
      </c>
      <c r="Y20" s="100" t="str">
        <v>-</v>
      </c>
      <c r="Z20" s="434">
        <v>44598</v>
      </c>
      <c r="AA20" s="409" t="str">
        <v>-</v>
      </c>
      <c r="AB20" s="435" t="str">
        <v>LC-130</v>
      </c>
      <c r="AC20" s="409">
        <v>44880</v>
      </c>
      <c r="AD20" s="409" t="str">
        <v>Yes</v>
      </c>
      <c r="AE20" s="409" t="str">
        <v>FY22 inter</v>
      </c>
      <c r="AF20" s="61" t="str">
        <v>FY23 intra</v>
      </c>
      <c r="AG20" s="409" t="str">
        <v>D. Gibson</v>
      </c>
      <c r="AH20" s="61">
        <v>44477</v>
      </c>
      <c r="AI20" s="61" t="str">
        <v>I. McEwen</v>
      </c>
      <c r="AJ20" s="409">
        <v>44477</v>
      </c>
      <c r="AK20" s="61" t="str">
        <v xml:space="preserve">8' container moves with contents by LC130 or is broken down for movement by Basler. Packing in progress. </v>
      </c>
      <c r="AL20" s="9" t="str">
        <v/>
      </c>
    </row>
    <row r="21" spans="1:40" s="9" customFormat="1" ht="47.25" hidden="1" customHeight="1">
      <c r="A21" s="24">
        <v>1.2</v>
      </c>
      <c r="B21" s="50" t="str">
        <v>Drill</v>
      </c>
      <c r="C21" s="17" t="str">
        <v>20' Refit Container A</v>
      </c>
      <c r="D21" s="17" t="str">
        <v>Refit materials incl. submersible pumps, hardware, filtration components, fall arrest towers, tools, &amp; hose crimper</v>
      </c>
      <c r="E21" s="22">
        <v>240</v>
      </c>
      <c r="F21" s="22">
        <v>96</v>
      </c>
      <c r="G21" s="22">
        <v>102</v>
      </c>
      <c r="H21" s="22">
        <v>1</v>
      </c>
      <c r="I21" s="22">
        <v>1360</v>
      </c>
      <c r="J21" s="22">
        <v>17500</v>
      </c>
      <c r="K21" s="4">
        <v>17500</v>
      </c>
      <c r="L21" s="442" t="str">
        <v>estimated</v>
      </c>
      <c r="M21" s="442" t="str">
        <v/>
      </c>
      <c r="N21" s="434" t="str">
        <v xml:space="preserve"> U. Wisc. Madison</v>
      </c>
      <c r="O21" s="426">
        <v>2</v>
      </c>
      <c r="P21" s="443">
        <v>44513</v>
      </c>
      <c r="Q21" s="429" t="str">
        <v>UWM - PTH</v>
      </c>
      <c r="R21" s="428">
        <v>44515</v>
      </c>
      <c r="S21" s="430" t="str">
        <v xml:space="preserve"> Truck</v>
      </c>
      <c r="T21" s="440" t="str">
        <v>PTH - MCM</v>
      </c>
      <c r="U21" s="47" t="str">
        <v>-</v>
      </c>
      <c r="V21" s="432" t="str">
        <v>USAP Vessel</v>
      </c>
      <c r="W21" s="433" t="str">
        <v>USAP Vessel</v>
      </c>
      <c r="X21" s="433" t="str">
        <v>-</v>
      </c>
      <c r="Y21" s="100" t="str">
        <v>-</v>
      </c>
      <c r="Z21" s="434">
        <v>44598</v>
      </c>
      <c r="AA21" s="409" t="str">
        <v>-</v>
      </c>
      <c r="AB21" s="435" t="str">
        <v>LC-130/SPoT</v>
      </c>
      <c r="AC21" s="409">
        <v>44896</v>
      </c>
      <c r="AD21" s="409" t="str">
        <v>Yes</v>
      </c>
      <c r="AE21" s="409" t="str">
        <v>FY22 inter</v>
      </c>
      <c r="AF21" s="409" t="str">
        <v>FY23 intra</v>
      </c>
      <c r="AG21" s="409" t="str">
        <v>D. Gibson</v>
      </c>
      <c r="AH21" s="409">
        <v>44477</v>
      </c>
      <c r="AI21" s="409" t="str">
        <v>I. McEwen</v>
      </c>
      <c r="AJ21" s="409">
        <v>44477</v>
      </c>
      <c r="AK21" s="409" t="str">
        <v xml:space="preserve">For air shipment container contents will need to be unloaded and palletized. Container procurement delayed by shortage. Packing in progress. </v>
      </c>
      <c r="AL21" s="9" t="str">
        <v/>
      </c>
    </row>
    <row r="22" spans="1:40" s="9" customFormat="1" ht="51" hidden="1">
      <c r="A22" s="24">
        <v>1.2</v>
      </c>
      <c r="B22" s="50" t="str">
        <v>Drill</v>
      </c>
      <c r="C22" s="17" t="str">
        <v>20' Refit Container B</v>
      </c>
      <c r="D22" s="17" t="str">
        <v>Bulky materials incl. cable trays, vertical turbine pumps, vertical turbine pump motors, ladders, water tank doghouse/railing materials, 287 forks, generator parts, TU20 shaft, &amp; drill weight stack</v>
      </c>
      <c r="E22" s="22">
        <v>240</v>
      </c>
      <c r="F22" s="22">
        <v>96</v>
      </c>
      <c r="G22" s="22">
        <v>102</v>
      </c>
      <c r="H22" s="22">
        <v>1</v>
      </c>
      <c r="I22" s="22">
        <v>1360</v>
      </c>
      <c r="J22" s="22">
        <v>14280</v>
      </c>
      <c r="K22" s="4">
        <v>14280</v>
      </c>
      <c r="L22" s="22" t="str">
        <v>actual</v>
      </c>
      <c r="M22" s="442" t="str">
        <v/>
      </c>
      <c r="N22" s="434" t="str">
        <v xml:space="preserve"> U. Wisc. Madison</v>
      </c>
      <c r="O22" s="426" t="str">
        <v>in transit</v>
      </c>
      <c r="P22" s="443">
        <v>44502</v>
      </c>
      <c r="Q22" s="429" t="str">
        <v>UWM - PTH</v>
      </c>
      <c r="R22" s="428">
        <v>44515</v>
      </c>
      <c r="S22" s="430" t="str">
        <v>Truck</v>
      </c>
      <c r="T22" s="431" t="str">
        <v>PTH - MCM</v>
      </c>
      <c r="U22" s="47" t="str">
        <v>-</v>
      </c>
      <c r="V22" s="432" t="str">
        <v>USAP Vessel</v>
      </c>
      <c r="W22" s="433" t="str">
        <v>USAP Vessel</v>
      </c>
      <c r="X22" s="433" t="str">
        <v>-</v>
      </c>
      <c r="Y22" s="100" t="str">
        <v>-</v>
      </c>
      <c r="Z22" s="434">
        <v>44598</v>
      </c>
      <c r="AA22" s="409" t="str">
        <v>-</v>
      </c>
      <c r="AB22" s="435" t="str">
        <v>LC-130/SPoT</v>
      </c>
      <c r="AC22" s="409">
        <v>44910</v>
      </c>
      <c r="AD22" s="409" t="str">
        <v>Yes</v>
      </c>
      <c r="AE22" s="409" t="str">
        <v>FY22 inter</v>
      </c>
      <c r="AF22" s="409" t="str">
        <v>FY23 intra</v>
      </c>
      <c r="AG22" s="409" t="str">
        <v>D. Gibson</v>
      </c>
      <c r="AH22" s="409">
        <v>44477</v>
      </c>
      <c r="AI22" s="409" t="str">
        <v>I. McEwen</v>
      </c>
      <c r="AJ22" s="409">
        <v>44477</v>
      </c>
      <c r="AK22" s="409" t="str">
        <v>For air shipment container contents will need to be unloaded and palletized</v>
      </c>
      <c r="AL22" s="9" t="str">
        <v/>
      </c>
    </row>
    <row r="23" spans="1:40" s="9" customFormat="1" ht="79.5" hidden="1" customHeight="1">
      <c r="A23" s="24">
        <v>1.2</v>
      </c>
      <c r="B23" s="50" t="str">
        <v>Drill</v>
      </c>
      <c r="C23" s="17" t="str">
        <v>ARA Trailer</v>
      </c>
      <c r="D23" s="1" t="str">
        <v>Enclosed trailer on skis housing 35kw generator</v>
      </c>
      <c r="E23" s="442">
        <v>192</v>
      </c>
      <c r="F23" s="442">
        <v>96</v>
      </c>
      <c r="G23" s="442">
        <v>88</v>
      </c>
      <c r="H23" s="22">
        <v>1</v>
      </c>
      <c r="I23" s="22">
        <v>938.66666666666663</v>
      </c>
      <c r="J23" s="22">
        <v>5400</v>
      </c>
      <c r="K23" s="4">
        <v>5400</v>
      </c>
      <c r="L23" s="22" t="str">
        <v>actual</v>
      </c>
      <c r="M23" s="22" t="str">
        <v>FLAMMABLE liquid power engine</v>
      </c>
      <c r="N23" s="24" t="str">
        <v xml:space="preserve"> U. Wisc. Madison</v>
      </c>
      <c r="O23" s="96" t="str">
        <v>in transit</v>
      </c>
      <c r="P23" s="443">
        <v>44502</v>
      </c>
      <c r="Q23" s="429" t="str">
        <v>UWM - PTH</v>
      </c>
      <c r="R23" s="428">
        <v>44515</v>
      </c>
      <c r="S23" s="430" t="str">
        <v xml:space="preserve"> Truck</v>
      </c>
      <c r="T23" s="440" t="str">
        <v>PTH - MCM</v>
      </c>
      <c r="U23" s="431" t="str">
        <v>-</v>
      </c>
      <c r="V23" s="432" t="str">
        <v>USAP Vessel</v>
      </c>
      <c r="W23" s="433" t="str">
        <v>USAP Vessel</v>
      </c>
      <c r="X23" s="433" t="str">
        <v>-</v>
      </c>
      <c r="Y23" s="100" t="str">
        <v>-</v>
      </c>
      <c r="Z23" s="434">
        <v>44598</v>
      </c>
      <c r="AA23" s="409" t="str">
        <v>-</v>
      </c>
      <c r="AB23" s="435" t="str">
        <v>LC-130/SPoT</v>
      </c>
      <c r="AC23" s="409">
        <v>44910</v>
      </c>
      <c r="AD23" s="409" t="str">
        <v>Yes*</v>
      </c>
      <c r="AE23" s="409" t="str">
        <v>FY22 inter</v>
      </c>
      <c r="AF23" s="61" t="str">
        <v>FY23 intra</v>
      </c>
      <c r="AG23" s="409" t="str">
        <v>D. Gibson</v>
      </c>
      <c r="AH23" s="61">
        <v>44477</v>
      </c>
      <c r="AI23" s="61" t="str">
        <v>I. McEwen</v>
      </c>
      <c r="AJ23" s="409">
        <v>44477</v>
      </c>
      <c r="AK23" s="61" t="str">
        <v>*If this shipment is delayed 480 volt power generation support will be required in FW YR 1 by the contractor. Aside from the CRREL generator (far larger than required with high fuel burn rate) the capacity does not currently exist at the Pole.</v>
      </c>
      <c r="AL23" s="9" t="str">
        <v/>
      </c>
    </row>
    <row r="24" spans="1:40" s="9" customFormat="1" ht="36.75" hidden="1" customHeight="1">
      <c r="A24" s="24">
        <v>1.2</v>
      </c>
      <c r="B24" s="50" t="str">
        <v>Drill</v>
      </c>
      <c r="C24" s="17" t="str">
        <v>Return Water Cable Reel (RWCR)</v>
      </c>
      <c r="D24" s="17" t="str">
        <v>Smaller reel - can fit in 20' container. Required onsite in FY23 for final integration and pre-drill activites</v>
      </c>
      <c r="E24" s="442">
        <v>112</v>
      </c>
      <c r="F24" s="442">
        <v>80</v>
      </c>
      <c r="G24" s="442">
        <v>80</v>
      </c>
      <c r="H24" s="22">
        <v>1</v>
      </c>
      <c r="I24" s="22">
        <v>414.81481481481484</v>
      </c>
      <c r="J24" s="22">
        <v>4000</v>
      </c>
      <c r="K24" s="4">
        <v>4000</v>
      </c>
      <c r="L24" s="442" t="str">
        <v>actual</v>
      </c>
      <c r="M24" s="442" t="str">
        <v/>
      </c>
      <c r="N24" s="434" t="str">
        <v xml:space="preserve"> U. Wisc. Madison</v>
      </c>
      <c r="O24" s="426" t="str">
        <v>in transit</v>
      </c>
      <c r="P24" s="443">
        <v>44495</v>
      </c>
      <c r="Q24" s="429" t="str">
        <v>UWM - PTH</v>
      </c>
      <c r="R24" s="428">
        <v>44515</v>
      </c>
      <c r="S24" s="430" t="str">
        <v xml:space="preserve"> Truck</v>
      </c>
      <c r="T24" s="440" t="str">
        <v>PTH - MCM</v>
      </c>
      <c r="U24" s="47" t="str">
        <v>-</v>
      </c>
      <c r="V24" s="432" t="str">
        <v>USAP Vessel</v>
      </c>
      <c r="W24" s="433" t="str">
        <v>USAP Vessel</v>
      </c>
      <c r="X24" s="433" t="str">
        <v>-</v>
      </c>
      <c r="Y24" s="100" t="str">
        <v>-</v>
      </c>
      <c r="Z24" s="434">
        <v>44598</v>
      </c>
      <c r="AA24" s="409" t="str">
        <v>-</v>
      </c>
      <c r="AB24" s="435" t="str">
        <v>LC-130/SPoT</v>
      </c>
      <c r="AC24" s="409">
        <v>44927</v>
      </c>
      <c r="AD24" s="409" t="str">
        <v>Yes</v>
      </c>
      <c r="AE24" s="409" t="str">
        <v>FY22 inter</v>
      </c>
      <c r="AF24" s="61" t="str">
        <v>FY23 intra</v>
      </c>
      <c r="AG24" s="409" t="str">
        <v>D. Gibson</v>
      </c>
      <c r="AH24" s="61">
        <v>44477</v>
      </c>
      <c r="AI24" s="61" t="str">
        <v>I. McEwen</v>
      </c>
      <c r="AJ24" s="409">
        <v>44477</v>
      </c>
      <c r="AK24" s="61" t="str">
        <v>Weight from Gen 1 shipment information see picture.</v>
      </c>
      <c r="AL24" s="9" t="str">
        <v/>
      </c>
    </row>
    <row r="25" spans="1:40" s="9" customFormat="1" ht="27.75" hidden="1" customHeight="1">
      <c r="A25" s="24">
        <v>1.2</v>
      </c>
      <c r="B25" s="50" t="str">
        <v>Drill</v>
      </c>
      <c r="C25" s="17" t="str">
        <v>Main Cable Reel  (MCR)</v>
      </c>
      <c r="D25" s="17" t="str">
        <v xml:space="preserve">Required onsite in FY23 for final integration and pre-drill activites. Large cable reel - will require flat rack on vessel             </v>
      </c>
      <c r="E25" s="442">
        <v>140</v>
      </c>
      <c r="F25" s="442">
        <v>96</v>
      </c>
      <c r="G25" s="442">
        <v>95</v>
      </c>
      <c r="H25" s="22">
        <v>1</v>
      </c>
      <c r="I25" s="22">
        <v>738.88888888888891</v>
      </c>
      <c r="J25" s="22">
        <v>12500</v>
      </c>
      <c r="K25" s="4">
        <v>12500</v>
      </c>
      <c r="L25" s="442" t="str">
        <v>actual</v>
      </c>
      <c r="M25" s="442" t="str">
        <v/>
      </c>
      <c r="N25" s="434" t="str">
        <v xml:space="preserve"> U. Wisc. Madison</v>
      </c>
      <c r="O25" s="426">
        <v>7</v>
      </c>
      <c r="P25" s="443">
        <v>44508</v>
      </c>
      <c r="Q25" s="429" t="str">
        <v>UWM - PTH</v>
      </c>
      <c r="R25" s="428">
        <v>44515</v>
      </c>
      <c r="S25" s="430" t="str">
        <v xml:space="preserve"> Truck</v>
      </c>
      <c r="T25" s="440" t="str">
        <v>PTH - MCM</v>
      </c>
      <c r="U25" s="47" t="str">
        <v>-</v>
      </c>
      <c r="V25" s="432" t="str">
        <v>USAP Vessel</v>
      </c>
      <c r="W25" s="433" t="str">
        <v>USAP Vessel</v>
      </c>
      <c r="X25" s="433" t="str">
        <v>-</v>
      </c>
      <c r="Y25" s="100" t="str">
        <v>-</v>
      </c>
      <c r="Z25" s="434">
        <v>44598</v>
      </c>
      <c r="AA25" s="409" t="str">
        <v>-</v>
      </c>
      <c r="AB25" s="435" t="str">
        <v>LC-130/SPoT</v>
      </c>
      <c r="AC25" s="409">
        <v>44927</v>
      </c>
      <c r="AD25" s="409" t="str">
        <v>Yes</v>
      </c>
      <c r="AE25" s="409" t="str">
        <v>FY22 inter</v>
      </c>
      <c r="AF25" s="61" t="str">
        <v>FY23 intra</v>
      </c>
      <c r="AG25" s="409" t="str">
        <v>D. Gibson</v>
      </c>
      <c r="AH25" s="61">
        <v>44477</v>
      </c>
      <c r="AI25" s="61" t="str">
        <v>I. McEwen</v>
      </c>
      <c r="AJ25" s="409">
        <v>44477</v>
      </c>
      <c r="AK25" s="61" t="str">
        <v xml:space="preserve">Required onsite in FS Y1 for final integration and pre-drill activities. Shrink wrap contractor rescheduled for later date. </v>
      </c>
      <c r="AL25" s="9" t="str">
        <v/>
      </c>
    </row>
    <row r="26" spans="1:40" s="13" customFormat="1" ht="68.099999999999994" hidden="1">
      <c r="A26" s="24">
        <v>1.2</v>
      </c>
      <c r="B26" s="50" t="str">
        <v>Drill</v>
      </c>
      <c r="C26" s="17" t="str">
        <v>Controls infrastructure - Motor drives, PLCs, electrical hardware, and motor drive mounting kits</v>
      </c>
      <c r="D26" s="17" t="str">
        <v>Components and equipment to support field season 1 controls system tasking - ComSur - Do Not Freeze</v>
      </c>
      <c r="E26" s="22">
        <v>96</v>
      </c>
      <c r="F26" s="22">
        <v>48</v>
      </c>
      <c r="G26" s="22">
        <v>48</v>
      </c>
      <c r="H26" s="22">
        <v>1</v>
      </c>
      <c r="I26" s="22">
        <v>128</v>
      </c>
      <c r="J26" s="22">
        <v>3000</v>
      </c>
      <c r="K26" s="4">
        <v>3000</v>
      </c>
      <c r="L26" s="442" t="str">
        <v>estimated</v>
      </c>
      <c r="M26" s="442" t="str">
        <v>DNF</v>
      </c>
      <c r="N26" s="434" t="str">
        <v xml:space="preserve"> U. Wisc. Madison</v>
      </c>
      <c r="O26" s="426">
        <v>381</v>
      </c>
      <c r="P26" s="443">
        <v>44301</v>
      </c>
      <c r="Q26" s="429" t="str">
        <v>UWM - PTH</v>
      </c>
      <c r="R26" s="428">
        <v>44682</v>
      </c>
      <c r="S26" s="430" t="str">
        <v>Truck</v>
      </c>
      <c r="T26" s="431" t="str">
        <v>PTH - CHC</v>
      </c>
      <c r="U26" s="431" t="str">
        <v>-</v>
      </c>
      <c r="V26" s="432" t="str">
        <v>ComSur</v>
      </c>
      <c r="W26" s="433" t="str">
        <v>CHC-MCM</v>
      </c>
      <c r="X26" s="433" t="str">
        <v>-</v>
      </c>
      <c r="Y26" s="426" t="str">
        <v>USAP Air</v>
      </c>
      <c r="Z26" s="434">
        <v>44866</v>
      </c>
      <c r="AA26" s="434" t="str">
        <v>-</v>
      </c>
      <c r="AB26" s="426" t="str">
        <v>LC-130</v>
      </c>
      <c r="AC26" s="444">
        <v>44896</v>
      </c>
      <c r="AD26" s="409" t="str">
        <v>Yes</v>
      </c>
      <c r="AE26" s="409" t="str">
        <v>FY23 inter</v>
      </c>
      <c r="AF26" s="65" t="str">
        <v>FY23 intra</v>
      </c>
      <c r="AG26" s="444" t="str">
        <v>D. Gibson</v>
      </c>
      <c r="AH26" s="65">
        <v>44477</v>
      </c>
      <c r="AI26" s="65" t="str">
        <v>I. McEwen</v>
      </c>
      <c r="AJ26" s="444">
        <v>44477</v>
      </c>
      <c r="AK26" s="65" t="str">
        <v>Weight estimated</v>
      </c>
      <c r="AL26" s="13" t="str">
        <v/>
      </c>
    </row>
    <row r="27" spans="1:40" ht="33.950000000000003">
      <c r="A27" s="147">
        <v>1.4</v>
      </c>
      <c r="B27" s="148" t="str">
        <v>Installation</v>
      </c>
      <c r="C27" s="149" t="str">
        <v>ICL power and timing electronics</v>
      </c>
      <c r="D27" s="150" t="str">
        <v>1 crate containing rackmount electronics for power and timing systems - Do Not Freeze</v>
      </c>
      <c r="E27" s="151">
        <v>96</v>
      </c>
      <c r="F27" s="151">
        <v>48</v>
      </c>
      <c r="G27" s="151">
        <v>48</v>
      </c>
      <c r="H27" s="152">
        <v>1</v>
      </c>
      <c r="I27" s="153">
        <v>128</v>
      </c>
      <c r="J27" s="153">
        <v>600</v>
      </c>
      <c r="K27" s="154">
        <v>600</v>
      </c>
      <c r="L27" s="151" t="str">
        <v>estimated</v>
      </c>
      <c r="M27" s="155" t="str">
        <v>DNF</v>
      </c>
      <c r="N27" s="156" t="str">
        <v xml:space="preserve"> U. Wisc. Madison</v>
      </c>
      <c r="O27" s="407">
        <v>31</v>
      </c>
      <c r="P27" s="158">
        <v>45108</v>
      </c>
      <c r="Q27" s="158" t="str">
        <v>UWM - PTH</v>
      </c>
      <c r="R27" s="158">
        <v>45139</v>
      </c>
      <c r="S27" s="159" t="str">
        <v>Truck</v>
      </c>
      <c r="T27" s="160" t="str">
        <v>PTH - CHC</v>
      </c>
      <c r="U27" s="160" t="str">
        <v>-</v>
      </c>
      <c r="V27" s="161" t="str">
        <v>ComSur</v>
      </c>
      <c r="W27" s="162" t="str">
        <v>CHC-MCM</v>
      </c>
      <c r="X27" s="162" t="str">
        <v>-</v>
      </c>
      <c r="Y27" s="157" t="str">
        <v>USAP Air</v>
      </c>
      <c r="Z27" s="169">
        <v>45231</v>
      </c>
      <c r="AA27" s="163" t="str">
        <v>-</v>
      </c>
      <c r="AB27" s="157" t="str">
        <v>LC-130</v>
      </c>
      <c r="AC27" s="157">
        <v>45261</v>
      </c>
      <c r="AD27" s="163" t="str">
        <v>Yes</v>
      </c>
      <c r="AE27" s="163" t="str">
        <v>FY24 inter</v>
      </c>
      <c r="AF27" s="163" t="str">
        <v>FY24 intra</v>
      </c>
      <c r="AG27" s="157" t="str">
        <v>J. Kelley</v>
      </c>
      <c r="AH27" s="157">
        <v>44481</v>
      </c>
      <c r="AI27" s="157" t="str">
        <v>D. Tosi</v>
      </c>
      <c r="AJ27" s="157">
        <v>44481</v>
      </c>
      <c r="AK27" s="163" t="str">
        <v/>
      </c>
      <c r="AL27" s="146" t="str">
        <v/>
      </c>
    </row>
    <row r="28" spans="1:40" ht="33.75" customHeight="1">
      <c r="A28" s="147">
        <v>1.4</v>
      </c>
      <c r="B28" s="148" t="str">
        <v>Installation</v>
      </c>
      <c r="C28" s="149" t="str">
        <v>ICL patch cables and patch panels</v>
      </c>
      <c r="D28" s="164" t="str">
        <v>Standard vessel shipping - can overwinter in McM if shipped earlier - Do Not  Deep Freeze</v>
      </c>
      <c r="E28" s="151">
        <v>96</v>
      </c>
      <c r="F28" s="151">
        <v>48</v>
      </c>
      <c r="G28" s="151">
        <v>48</v>
      </c>
      <c r="H28" s="152">
        <v>1</v>
      </c>
      <c r="I28" s="153">
        <v>128</v>
      </c>
      <c r="J28" s="153">
        <v>1200</v>
      </c>
      <c r="K28" s="154">
        <v>1200</v>
      </c>
      <c r="L28" s="151" t="str">
        <v>estimated</v>
      </c>
      <c r="M28" s="155" t="str">
        <v>DNDF [TBD]</v>
      </c>
      <c r="N28" s="156" t="str">
        <v xml:space="preserve"> U. Wisc. Madison</v>
      </c>
      <c r="O28" s="407">
        <v>61</v>
      </c>
      <c r="P28" s="158">
        <v>45078</v>
      </c>
      <c r="Q28" s="158" t="str">
        <v>UWM - PTH</v>
      </c>
      <c r="R28" s="158">
        <v>45139</v>
      </c>
      <c r="S28" s="159" t="str">
        <v>Truck</v>
      </c>
      <c r="T28" s="160" t="str">
        <v>PTH - CHC</v>
      </c>
      <c r="U28" s="160" t="str">
        <v>-</v>
      </c>
      <c r="V28" s="161" t="str">
        <v>ComSur</v>
      </c>
      <c r="W28" s="162" t="str">
        <v>CHC-MCM</v>
      </c>
      <c r="X28" s="162" t="str">
        <v>-</v>
      </c>
      <c r="Y28" s="157" t="str">
        <v>USAP Air</v>
      </c>
      <c r="Z28" s="169">
        <v>45231</v>
      </c>
      <c r="AA28" s="156" t="str">
        <v>-</v>
      </c>
      <c r="AB28" s="157" t="str">
        <v>LC-130</v>
      </c>
      <c r="AC28" s="157">
        <v>45261</v>
      </c>
      <c r="AD28" s="163" t="str">
        <v>Yes</v>
      </c>
      <c r="AE28" s="163" t="str">
        <v>FY24 inter</v>
      </c>
      <c r="AF28" s="163" t="str">
        <v>FY24 intra</v>
      </c>
      <c r="AG28" s="157" t="str">
        <v>J. Kelley</v>
      </c>
      <c r="AH28" s="157">
        <v>44481</v>
      </c>
      <c r="AI28" s="157" t="str">
        <v>D. Tosi</v>
      </c>
      <c r="AJ28" s="157">
        <v>44481</v>
      </c>
      <c r="AK28" s="163" t="str">
        <v xml:space="preserve">(*) storage in McMurdo pending low temperature test </v>
      </c>
      <c r="AL28" s="146" t="str">
        <v/>
      </c>
    </row>
    <row r="29" spans="1:40" s="27" customFormat="1" ht="33.950000000000003" hidden="1">
      <c r="A29" s="10">
        <v>1.2</v>
      </c>
      <c r="B29" s="50" t="str">
        <v>Drill</v>
      </c>
      <c r="C29" s="14" t="str">
        <v>ARA Drill System Components - Crate 1</v>
      </c>
      <c r="D29" s="14" t="str">
        <v>ARA (Antarctic Rodwell Appartus) - downhole pump controller, ePump controller, splash cam kit, and accessories - Do Not Freeze</v>
      </c>
      <c r="E29" s="4">
        <v>96</v>
      </c>
      <c r="F29" s="4">
        <v>48</v>
      </c>
      <c r="G29" s="4">
        <v>48</v>
      </c>
      <c r="H29" s="4">
        <v>1</v>
      </c>
      <c r="I29" s="22">
        <v>128</v>
      </c>
      <c r="J29" s="22">
        <v>1200</v>
      </c>
      <c r="K29" s="4">
        <v>1200</v>
      </c>
      <c r="L29" s="4" t="str">
        <v>estimated</v>
      </c>
      <c r="M29" s="4" t="str">
        <v>DNF</v>
      </c>
      <c r="N29" s="10" t="str">
        <v xml:space="preserve"> U. Wisc. Madison</v>
      </c>
      <c r="O29" s="78">
        <v>381</v>
      </c>
      <c r="P29" s="98">
        <v>44301</v>
      </c>
      <c r="Q29" s="95" t="str">
        <v>UWM - PTH</v>
      </c>
      <c r="R29" s="99">
        <v>44682</v>
      </c>
      <c r="S29" s="430" t="str">
        <v xml:space="preserve"> Truck</v>
      </c>
      <c r="T29" s="97" t="str">
        <v>PTH - CHC</v>
      </c>
      <c r="U29" s="431" t="str">
        <v>-</v>
      </c>
      <c r="V29" s="432" t="str">
        <v>ComSur</v>
      </c>
      <c r="W29" s="79" t="str">
        <v>CHC-MCM</v>
      </c>
      <c r="X29" s="433" t="str">
        <v>-</v>
      </c>
      <c r="Y29" s="426" t="str">
        <v>USAP Air</v>
      </c>
      <c r="Z29" s="10">
        <v>44866</v>
      </c>
      <c r="AA29" s="10" t="str">
        <v>-</v>
      </c>
      <c r="AB29" s="78" t="str">
        <v xml:space="preserve">LC-130 </v>
      </c>
      <c r="AC29" s="26">
        <v>44896</v>
      </c>
      <c r="AD29" s="409" t="str">
        <v>Yes</v>
      </c>
      <c r="AE29" s="409" t="str">
        <v>FY23 inter</v>
      </c>
      <c r="AF29" s="34" t="str">
        <v>FY23 intra</v>
      </c>
      <c r="AG29" s="26" t="str">
        <v>D. Gibson</v>
      </c>
      <c r="AH29" s="66">
        <v>44477</v>
      </c>
      <c r="AI29" s="66" t="str">
        <v>I. McEwen</v>
      </c>
      <c r="AJ29" s="66">
        <v>44477</v>
      </c>
      <c r="AK29" s="66" t="str">
        <v/>
      </c>
      <c r="AL29" s="27" t="str">
        <v/>
      </c>
    </row>
    <row r="30" spans="1:40" s="27" customFormat="1" ht="33.950000000000003" hidden="1">
      <c r="A30" s="10">
        <v>1.2</v>
      </c>
      <c r="B30" s="50" t="str">
        <v>Drill</v>
      </c>
      <c r="C30" s="14" t="str">
        <v>ARA Drill System Components - Crate 2</v>
      </c>
      <c r="D30" s="14" t="str">
        <v>ARA (Antarctic Rodwell Appartus) - new downhole pumps, spares, accessories and tools</v>
      </c>
      <c r="E30" s="4">
        <v>96</v>
      </c>
      <c r="F30" s="4">
        <v>48</v>
      </c>
      <c r="G30" s="4">
        <v>48</v>
      </c>
      <c r="H30" s="4">
        <v>1</v>
      </c>
      <c r="I30" s="22">
        <v>128</v>
      </c>
      <c r="J30" s="22">
        <v>1200</v>
      </c>
      <c r="K30" s="4">
        <v>1200</v>
      </c>
      <c r="L30" s="4" t="str">
        <v>estimated</v>
      </c>
      <c r="M30" s="4" t="str">
        <v/>
      </c>
      <c r="N30" s="10" t="str">
        <v xml:space="preserve"> U. Wisc. Madison</v>
      </c>
      <c r="O30" s="78">
        <v>381</v>
      </c>
      <c r="P30" s="98">
        <v>44301</v>
      </c>
      <c r="Q30" s="95" t="str">
        <v>UWM - PTH</v>
      </c>
      <c r="R30" s="99">
        <v>44682</v>
      </c>
      <c r="S30" s="430" t="str">
        <v xml:space="preserve"> Truck</v>
      </c>
      <c r="T30" s="97" t="str">
        <v>PTH - CHC</v>
      </c>
      <c r="U30" s="431" t="str">
        <v>-</v>
      </c>
      <c r="V30" s="432" t="str">
        <v>ComSur</v>
      </c>
      <c r="W30" s="79" t="str">
        <v>CHC-MCM</v>
      </c>
      <c r="X30" s="433" t="str">
        <v>-</v>
      </c>
      <c r="Y30" s="426" t="str">
        <v>USAP Air</v>
      </c>
      <c r="Z30" s="10">
        <v>44866</v>
      </c>
      <c r="AA30" s="26" t="str">
        <v>-</v>
      </c>
      <c r="AB30" s="78" t="str">
        <v>LC-130/SPoT</v>
      </c>
      <c r="AC30" s="26">
        <v>44896</v>
      </c>
      <c r="AD30" s="409" t="str">
        <v>Yes</v>
      </c>
      <c r="AE30" s="409" t="str">
        <v>FY23 inter</v>
      </c>
      <c r="AF30" s="34" t="str">
        <v>FY23 intra</v>
      </c>
      <c r="AG30" s="26" t="str">
        <v>D. Gibson</v>
      </c>
      <c r="AH30" s="66">
        <v>44477</v>
      </c>
      <c r="AI30" s="66" t="str">
        <v>I. McEwen</v>
      </c>
      <c r="AJ30" s="66">
        <v>44477</v>
      </c>
      <c r="AK30" s="66" t="str">
        <v/>
      </c>
      <c r="AL30" s="27" t="str">
        <v/>
      </c>
    </row>
    <row r="31" spans="1:40" s="9" customFormat="1" ht="41.1" hidden="1" customHeight="1">
      <c r="A31" s="10">
        <v>1.2</v>
      </c>
      <c r="B31" s="50" t="str">
        <v>Drill</v>
      </c>
      <c r="C31" s="14" t="str">
        <v>Camp Hose - currently staged at PSL</v>
      </c>
      <c r="D31" s="14" t="str">
        <v>Two spools of hose - 348 cf / 4990 lbs each. Required for SES set-up - no DNDF requirement.</v>
      </c>
      <c r="E31" s="4">
        <v>92</v>
      </c>
      <c r="F31" s="4">
        <v>92</v>
      </c>
      <c r="G31" s="4">
        <v>71</v>
      </c>
      <c r="H31" s="4">
        <v>2</v>
      </c>
      <c r="I31" s="22">
        <v>695.53703703703707</v>
      </c>
      <c r="J31" s="22">
        <v>4990</v>
      </c>
      <c r="K31" s="4">
        <v>9980</v>
      </c>
      <c r="L31" s="441" t="str">
        <v>actual</v>
      </c>
      <c r="M31" s="441" t="str">
        <v/>
      </c>
      <c r="N31" s="427" t="str">
        <v xml:space="preserve"> U. Wisc. Madison</v>
      </c>
      <c r="O31" s="435">
        <v>157</v>
      </c>
      <c r="P31" s="428">
        <v>44358</v>
      </c>
      <c r="Q31" s="95" t="str">
        <v>UWM - PTH</v>
      </c>
      <c r="R31" s="428">
        <v>44515</v>
      </c>
      <c r="S31" s="430" t="str">
        <v>Truck</v>
      </c>
      <c r="T31" s="12" t="str">
        <v>PTH - MCM</v>
      </c>
      <c r="U31" s="431" t="str">
        <v>-</v>
      </c>
      <c r="V31" s="39" t="str">
        <v>USAP Vessel</v>
      </c>
      <c r="W31" s="433" t="str">
        <v>USAP Vessel</v>
      </c>
      <c r="X31" s="433" t="str">
        <v>-</v>
      </c>
      <c r="Y31" s="100" t="str">
        <v>-</v>
      </c>
      <c r="Z31" s="434">
        <v>44598</v>
      </c>
      <c r="AA31" s="409" t="str">
        <v>-</v>
      </c>
      <c r="AB31" s="435" t="str">
        <v>LC-130/SPoT</v>
      </c>
      <c r="AC31" s="409">
        <v>45261</v>
      </c>
      <c r="AD31" s="409" t="str">
        <v>Yes</v>
      </c>
      <c r="AE31" s="409" t="str">
        <v>FY22 inter</v>
      </c>
      <c r="AF31" s="409" t="str">
        <v>FY24 intra</v>
      </c>
      <c r="AG31" s="409" t="str">
        <v>D. Gibson</v>
      </c>
      <c r="AH31" s="409">
        <v>44477</v>
      </c>
      <c r="AI31" s="409" t="str">
        <v>I. McEwen</v>
      </c>
      <c r="AJ31" s="409">
        <v>44477</v>
      </c>
      <c r="AK31" s="409" t="str">
        <v/>
      </c>
      <c r="AL31" s="9" t="str">
        <v/>
      </c>
    </row>
    <row r="32" spans="1:40" s="9" customFormat="1" ht="33.950000000000003" hidden="1">
      <c r="A32" s="25">
        <v>1.2</v>
      </c>
      <c r="B32" s="48" t="str">
        <v>Drill</v>
      </c>
      <c r="C32" s="3" t="str">
        <v>Bull wheel</v>
      </c>
      <c r="D32" s="3" t="str">
        <v>Bull wheel assembly - used to install main cable on reel in event of main cable damage/failure</v>
      </c>
      <c r="E32" s="4">
        <v>88</v>
      </c>
      <c r="F32" s="4">
        <v>58</v>
      </c>
      <c r="G32" s="4">
        <v>97</v>
      </c>
      <c r="H32" s="23">
        <v>1</v>
      </c>
      <c r="I32" s="22">
        <v>286.50925925925924</v>
      </c>
      <c r="J32" s="22">
        <v>2880</v>
      </c>
      <c r="K32" s="4">
        <v>2880</v>
      </c>
      <c r="L32" s="23" t="str">
        <v>actual</v>
      </c>
      <c r="M32" s="6" t="str">
        <v/>
      </c>
      <c r="N32" s="427" t="str">
        <v xml:space="preserve"> U. Wisc. Madison</v>
      </c>
      <c r="O32" s="435">
        <v>349</v>
      </c>
      <c r="P32" s="443">
        <v>44531</v>
      </c>
      <c r="Q32" s="429" t="str">
        <v>UWM - PTH</v>
      </c>
      <c r="R32" s="428">
        <v>44880</v>
      </c>
      <c r="S32" s="430" t="str">
        <v>Truck</v>
      </c>
      <c r="T32" s="431" t="str">
        <v>PTH - MCM</v>
      </c>
      <c r="U32" s="431" t="str">
        <v>-</v>
      </c>
      <c r="V32" s="432" t="str">
        <v>USAP Vessel</v>
      </c>
      <c r="W32" s="433" t="str">
        <v>USAP Vessel</v>
      </c>
      <c r="X32" s="433" t="str">
        <v>-</v>
      </c>
      <c r="Y32" s="435" t="str">
        <v>-</v>
      </c>
      <c r="Z32" s="434">
        <v>44963</v>
      </c>
      <c r="AA32" s="409" t="str">
        <v>-</v>
      </c>
      <c r="AB32" s="435" t="str">
        <v>LC-130/SPoT</v>
      </c>
      <c r="AC32" s="409">
        <v>45323</v>
      </c>
      <c r="AD32" s="409" t="str">
        <v>No</v>
      </c>
      <c r="AE32" s="409" t="str">
        <v>FY23 inter</v>
      </c>
      <c r="AF32" s="409" t="str">
        <v>FY24 intra</v>
      </c>
      <c r="AG32" s="409" t="str">
        <v>D. Gibson</v>
      </c>
      <c r="AH32" s="409">
        <v>44477</v>
      </c>
      <c r="AI32" s="409" t="str">
        <v>I. McEwen</v>
      </c>
      <c r="AJ32" s="409">
        <v>44477</v>
      </c>
      <c r="AK32" s="409" t="str">
        <v>Weight and cube used from Gen 1 shipping label still on bull wheel.</v>
      </c>
      <c r="AL32" s="9" t="str">
        <v/>
      </c>
    </row>
    <row r="33" spans="1:38" s="9" customFormat="1" ht="33.950000000000003" hidden="1">
      <c r="A33" s="25">
        <v>1.2</v>
      </c>
      <c r="B33" s="48" t="str">
        <v>Drill</v>
      </c>
      <c r="C33" s="3" t="str">
        <v>Load member cable reel</v>
      </c>
      <c r="D33" s="3" t="str">
        <v>Cable Reel used to deploy downhole load member during string installation</v>
      </c>
      <c r="E33" s="4">
        <v>84</v>
      </c>
      <c r="F33" s="4">
        <v>60</v>
      </c>
      <c r="G33" s="4">
        <v>48</v>
      </c>
      <c r="H33" s="23">
        <v>1</v>
      </c>
      <c r="I33" s="22">
        <v>140</v>
      </c>
      <c r="J33" s="22">
        <v>3800</v>
      </c>
      <c r="K33" s="4">
        <v>3800</v>
      </c>
      <c r="L33" s="23" t="str">
        <v>estimated</v>
      </c>
      <c r="M33" s="6" t="str">
        <v/>
      </c>
      <c r="N33" s="427" t="str">
        <v xml:space="preserve"> U. Wisc. Madison</v>
      </c>
      <c r="O33" s="435">
        <v>31</v>
      </c>
      <c r="P33" s="443">
        <v>44849</v>
      </c>
      <c r="Q33" s="429" t="str">
        <v>UWM - PTH</v>
      </c>
      <c r="R33" s="428">
        <v>44880</v>
      </c>
      <c r="S33" s="430" t="str">
        <v>Truck</v>
      </c>
      <c r="T33" s="431" t="str">
        <v>PTH - MCM</v>
      </c>
      <c r="U33" s="431" t="str">
        <v>-</v>
      </c>
      <c r="V33" s="432" t="str">
        <v>USAP Vessel</v>
      </c>
      <c r="W33" s="433" t="str">
        <v>USAP Vessel</v>
      </c>
      <c r="X33" s="433" t="str">
        <v>-</v>
      </c>
      <c r="Y33" s="435" t="str">
        <v>-</v>
      </c>
      <c r="Z33" s="434">
        <v>44963</v>
      </c>
      <c r="AA33" s="409" t="str">
        <v>-</v>
      </c>
      <c r="AB33" s="435" t="str">
        <v>LC-130/SPoT</v>
      </c>
      <c r="AC33" s="409">
        <v>45275</v>
      </c>
      <c r="AD33" s="409" t="str">
        <v>Yes</v>
      </c>
      <c r="AE33" s="409" t="str">
        <v>FY23 inter</v>
      </c>
      <c r="AF33" s="409" t="str">
        <v>FY24 intra</v>
      </c>
      <c r="AG33" s="409" t="str">
        <v>D. Gibson</v>
      </c>
      <c r="AH33" s="409">
        <v>44477</v>
      </c>
      <c r="AI33" s="409" t="str">
        <v>I. McEwen</v>
      </c>
      <c r="AJ33" s="409">
        <v>44477</v>
      </c>
      <c r="AK33" s="409" t="str">
        <v>Required onsite in FW YR 2 for integration - recent addition, still in development</v>
      </c>
      <c r="AL33" s="9" t="str">
        <v/>
      </c>
    </row>
    <row r="34" spans="1:38" s="9" customFormat="1" ht="61.5" hidden="1" customHeight="1">
      <c r="A34" s="25">
        <v>1.2</v>
      </c>
      <c r="B34" s="48" t="str">
        <v>Installation</v>
      </c>
      <c r="C34" s="3" t="str">
        <v>DOM Handling Facility (DHF)</v>
      </c>
      <c r="D34" s="3" t="str">
        <v>Standard vessel shipping - can overwinter in McM.</v>
      </c>
      <c r="E34" s="23">
        <v>240</v>
      </c>
      <c r="F34" s="23">
        <v>96</v>
      </c>
      <c r="G34" s="23">
        <v>96</v>
      </c>
      <c r="H34" s="23">
        <v>1</v>
      </c>
      <c r="I34" s="22">
        <v>1280</v>
      </c>
      <c r="J34" s="22">
        <v>12000</v>
      </c>
      <c r="K34" s="4">
        <v>12000</v>
      </c>
      <c r="L34" s="445" t="str">
        <v>estimated</v>
      </c>
      <c r="M34" s="436" t="str">
        <v/>
      </c>
      <c r="N34" s="427" t="str">
        <v xml:space="preserve"> U. Wisc. Madison</v>
      </c>
      <c r="O34" s="435">
        <v>117</v>
      </c>
      <c r="P34" s="443">
        <v>44763</v>
      </c>
      <c r="Q34" s="429" t="str">
        <v>UWM - PTH</v>
      </c>
      <c r="R34" s="428">
        <v>44880</v>
      </c>
      <c r="S34" s="431" t="str">
        <v>Truck</v>
      </c>
      <c r="T34" s="431" t="str">
        <v>PTH - MCM</v>
      </c>
      <c r="U34" s="431" t="str">
        <v>-</v>
      </c>
      <c r="V34" s="433" t="str">
        <v>USAP Vessel</v>
      </c>
      <c r="W34" s="433" t="str">
        <v>USAP Vessel</v>
      </c>
      <c r="X34" s="433" t="str">
        <v>-</v>
      </c>
      <c r="Y34" s="426" t="str">
        <v>-</v>
      </c>
      <c r="Z34" s="434">
        <v>44963</v>
      </c>
      <c r="AA34" s="409" t="str">
        <v>-</v>
      </c>
      <c r="AB34" s="435" t="str">
        <v>LC-130/SPoT</v>
      </c>
      <c r="AC34" s="409">
        <v>45261</v>
      </c>
      <c r="AD34" s="409" t="str">
        <v>Yes</v>
      </c>
      <c r="AE34" s="409" t="str">
        <v>FY23 inter</v>
      </c>
      <c r="AF34" s="61" t="str">
        <v>FY24 intra</v>
      </c>
      <c r="AG34" s="409" t="str">
        <v>D. Gibson</v>
      </c>
      <c r="AH34" s="61">
        <v>44477</v>
      </c>
      <c r="AI34" s="61" t="str">
        <v>I. McEwen</v>
      </c>
      <c r="AJ34" s="409">
        <v>44477</v>
      </c>
      <c r="AK34" s="61" t="str">
        <v>Sensor Handling Facility construction scheduled to begin mid-December FY24</v>
      </c>
      <c r="AL34" s="9" t="str">
        <v/>
      </c>
    </row>
    <row r="35" spans="1:38" ht="23.25" customHeight="1">
      <c r="A35" s="165">
        <v>1.2</v>
      </c>
      <c r="B35" s="166" t="str">
        <v>Drill</v>
      </c>
      <c r="C35" s="164" t="str">
        <v xml:space="preserve">Spare Combo cable </v>
      </c>
      <c r="D35" s="167" t="str">
        <v>Spare cable for Return Water Cable Reel - on spool</v>
      </c>
      <c r="E35" s="152">
        <v>72</v>
      </c>
      <c r="F35" s="152">
        <v>72</v>
      </c>
      <c r="G35" s="152">
        <v>72</v>
      </c>
      <c r="H35" s="152">
        <v>1</v>
      </c>
      <c r="I35" s="153">
        <v>216</v>
      </c>
      <c r="J35" s="153">
        <v>3000</v>
      </c>
      <c r="K35" s="154">
        <v>3000</v>
      </c>
      <c r="L35" s="152" t="str">
        <v>actual</v>
      </c>
      <c r="M35" s="168" t="str">
        <v/>
      </c>
      <c r="N35" s="156" t="str">
        <v xml:space="preserve"> U. Wisc. Madison</v>
      </c>
      <c r="O35" s="407">
        <v>31</v>
      </c>
      <c r="P35" s="158">
        <v>44849</v>
      </c>
      <c r="Q35" s="158" t="str">
        <v>UWM - PTH</v>
      </c>
      <c r="R35" s="158">
        <v>44880</v>
      </c>
      <c r="S35" s="160" t="str">
        <v>Truck</v>
      </c>
      <c r="T35" s="160" t="str">
        <v>PTH - MCM</v>
      </c>
      <c r="U35" s="160" t="str">
        <v>-</v>
      </c>
      <c r="V35" s="162" t="str">
        <v>USAP Vessel</v>
      </c>
      <c r="W35" s="162" t="str">
        <v>USAP Vessel</v>
      </c>
      <c r="X35" s="162" t="str">
        <v>-</v>
      </c>
      <c r="Y35" s="169" t="str">
        <v>-</v>
      </c>
      <c r="Z35" s="169">
        <v>45328</v>
      </c>
      <c r="AA35" s="163" t="str">
        <v>-</v>
      </c>
      <c r="AB35" s="157" t="str">
        <v>LC-130/SPoT</v>
      </c>
      <c r="AC35" s="157">
        <v>45334</v>
      </c>
      <c r="AD35" s="163" t="str">
        <v>No</v>
      </c>
      <c r="AE35" s="163" t="str">
        <v>FY24 inter</v>
      </c>
      <c r="AF35" s="163" t="str">
        <v>FY24 intra</v>
      </c>
      <c r="AG35" s="157" t="str">
        <v>D. Gibson</v>
      </c>
      <c r="AH35" s="157">
        <v>44477</v>
      </c>
      <c r="AI35" s="157" t="str">
        <v>I. McEwen</v>
      </c>
      <c r="AJ35" s="157">
        <v>44477</v>
      </c>
      <c r="AK35" s="163" t="str">
        <v>Spare required for drill season</v>
      </c>
      <c r="AL35" s="146" t="str">
        <v/>
      </c>
    </row>
    <row r="36" spans="1:38" ht="26.45" customHeight="1">
      <c r="A36" s="165">
        <v>1.2</v>
      </c>
      <c r="B36" s="166" t="str">
        <v>Drill</v>
      </c>
      <c r="C36" s="167" t="str">
        <v>Spare Drill Cable</v>
      </c>
      <c r="D36" s="167" t="str">
        <v>Standard vessel shipping - can overwinter in McM. Cable on steel spool.</v>
      </c>
      <c r="E36" s="152">
        <v>83</v>
      </c>
      <c r="F36" s="152">
        <v>83</v>
      </c>
      <c r="G36" s="152">
        <v>61</v>
      </c>
      <c r="H36" s="152">
        <v>1</v>
      </c>
      <c r="I36" s="153">
        <v>243.1880787037037</v>
      </c>
      <c r="J36" s="153">
        <v>6835</v>
      </c>
      <c r="K36" s="154">
        <v>6835</v>
      </c>
      <c r="L36" s="152" t="str">
        <v>actual</v>
      </c>
      <c r="M36" s="168" t="str">
        <v/>
      </c>
      <c r="N36" s="156" t="str">
        <v xml:space="preserve"> U. Wisc. Madison</v>
      </c>
      <c r="O36" s="407">
        <v>31</v>
      </c>
      <c r="P36" s="158">
        <v>44849</v>
      </c>
      <c r="Q36" s="158" t="str">
        <v>UWM - PTH</v>
      </c>
      <c r="R36" s="158">
        <v>44880</v>
      </c>
      <c r="S36" s="160" t="str">
        <v>Truck</v>
      </c>
      <c r="T36" s="160" t="str">
        <v>PTH - MCM</v>
      </c>
      <c r="U36" s="160" t="str">
        <v>-</v>
      </c>
      <c r="V36" s="162" t="str">
        <v>USAP Vessel</v>
      </c>
      <c r="W36" s="162" t="str">
        <v>USAP Vessel</v>
      </c>
      <c r="X36" s="162" t="str">
        <v>-</v>
      </c>
      <c r="Y36" s="169" t="str">
        <v>-</v>
      </c>
      <c r="Z36" s="169">
        <v>45328</v>
      </c>
      <c r="AA36" s="163" t="str">
        <v>-</v>
      </c>
      <c r="AB36" s="157" t="str">
        <v>LC-130/SPoT</v>
      </c>
      <c r="AC36" s="157">
        <v>45334</v>
      </c>
      <c r="AD36" s="163" t="str">
        <v>No</v>
      </c>
      <c r="AE36" s="163" t="str">
        <v>FY24 inter</v>
      </c>
      <c r="AF36" s="163" t="str">
        <v>FY24 intra</v>
      </c>
      <c r="AG36" s="157" t="str">
        <v>D. Gibson</v>
      </c>
      <c r="AH36" s="157">
        <v>44477</v>
      </c>
      <c r="AI36" s="157" t="str">
        <v>I. McEwen</v>
      </c>
      <c r="AJ36" s="157">
        <v>44477</v>
      </c>
      <c r="AK36" s="163" t="str">
        <v>Spare required for drill season</v>
      </c>
      <c r="AL36" s="146" t="str">
        <v/>
      </c>
    </row>
    <row r="37" spans="1:38" ht="33.950000000000003">
      <c r="A37" s="165">
        <v>1.2</v>
      </c>
      <c r="B37" s="166" t="str">
        <v>Drill</v>
      </c>
      <c r="C37" s="167" t="str">
        <v>Computing/controls components</v>
      </c>
      <c r="D37" s="167" t="str">
        <v>Computing and controls equipment (Motor drives and other sensitive electronics) - Do Not Freeze</v>
      </c>
      <c r="E37" s="154">
        <v>96</v>
      </c>
      <c r="F37" s="154">
        <v>48</v>
      </c>
      <c r="G37" s="154">
        <v>48</v>
      </c>
      <c r="H37" s="152">
        <v>1</v>
      </c>
      <c r="I37" s="153">
        <v>128</v>
      </c>
      <c r="J37" s="153">
        <v>3000</v>
      </c>
      <c r="K37" s="154">
        <v>3000</v>
      </c>
      <c r="L37" s="152" t="str">
        <v>estimated</v>
      </c>
      <c r="M37" s="168" t="str">
        <v>DNF</v>
      </c>
      <c r="N37" s="156" t="str">
        <v xml:space="preserve"> U. Wisc. Madison</v>
      </c>
      <c r="O37" s="407">
        <v>31</v>
      </c>
      <c r="P37" s="158">
        <v>45108</v>
      </c>
      <c r="Q37" s="158" t="str">
        <v>UWM - PTH</v>
      </c>
      <c r="R37" s="158">
        <v>45139</v>
      </c>
      <c r="S37" s="159" t="str">
        <v>Truck</v>
      </c>
      <c r="T37" s="160" t="str">
        <v>PTH - CHC</v>
      </c>
      <c r="U37" s="160" t="str">
        <v>-</v>
      </c>
      <c r="V37" s="161" t="str">
        <v>ComSur</v>
      </c>
      <c r="W37" s="162" t="str">
        <v>CHC-MCM</v>
      </c>
      <c r="X37" s="162" t="str">
        <v>-</v>
      </c>
      <c r="Y37" s="157" t="str">
        <v>USAP Air</v>
      </c>
      <c r="Z37" s="169">
        <v>45231</v>
      </c>
      <c r="AA37" s="163" t="str">
        <v>-</v>
      </c>
      <c r="AB37" s="157" t="str">
        <v>LC-130</v>
      </c>
      <c r="AC37" s="157">
        <v>45245</v>
      </c>
      <c r="AD37" s="163" t="str">
        <v>Yes</v>
      </c>
      <c r="AE37" s="163" t="str">
        <v>FY24 inter</v>
      </c>
      <c r="AF37" s="163" t="str">
        <v>FY24 intra</v>
      </c>
      <c r="AG37" s="157" t="str">
        <v>D. Gibson</v>
      </c>
      <c r="AH37" s="157">
        <v>44477</v>
      </c>
      <c r="AI37" s="157" t="str">
        <v>I. McEwen</v>
      </c>
      <c r="AJ37" s="157">
        <v>44477</v>
      </c>
      <c r="AK37" s="163" t="str">
        <v>Required onsite in FW YR 2 to support controls system tasking</v>
      </c>
      <c r="AL37" s="146" t="str">
        <v/>
      </c>
    </row>
    <row r="38" spans="1:38" ht="33.950000000000003">
      <c r="A38" s="165">
        <v>1.2</v>
      </c>
      <c r="B38" s="166" t="str">
        <v>Drill</v>
      </c>
      <c r="C38" s="167" t="str">
        <v>Driller resupply/refit components -  8'  Container</v>
      </c>
      <c r="D38" s="167" t="str">
        <v>8' Mini Milvan; Consumables/drill components</v>
      </c>
      <c r="E38" s="154">
        <v>96</v>
      </c>
      <c r="F38" s="154">
        <v>86</v>
      </c>
      <c r="G38" s="154">
        <v>96</v>
      </c>
      <c r="H38" s="152">
        <v>1</v>
      </c>
      <c r="I38" s="153">
        <v>458.66666666666669</v>
      </c>
      <c r="J38" s="153">
        <v>6500</v>
      </c>
      <c r="K38" s="154">
        <v>6500</v>
      </c>
      <c r="L38" s="152" t="str">
        <v>estimated</v>
      </c>
      <c r="M38" s="168" t="str">
        <v/>
      </c>
      <c r="N38" s="156" t="str">
        <v xml:space="preserve"> U. Wisc. Madison</v>
      </c>
      <c r="O38" s="407">
        <v>31</v>
      </c>
      <c r="P38" s="158">
        <v>45108</v>
      </c>
      <c r="Q38" s="158" t="str">
        <v>UWM - PTH</v>
      </c>
      <c r="R38" s="158">
        <v>45139</v>
      </c>
      <c r="S38" s="159" t="str">
        <v>Truck</v>
      </c>
      <c r="T38" s="160" t="str">
        <v>PTH - CHC</v>
      </c>
      <c r="U38" s="160" t="str">
        <v>-</v>
      </c>
      <c r="V38" s="161" t="str">
        <v>ComSur</v>
      </c>
      <c r="W38" s="162" t="str">
        <v>CHC-MCM</v>
      </c>
      <c r="X38" s="162" t="str">
        <v>-</v>
      </c>
      <c r="Y38" s="157" t="str">
        <v>USAP Air</v>
      </c>
      <c r="Z38" s="169">
        <v>45231</v>
      </c>
      <c r="AA38" s="163" t="str">
        <v>-</v>
      </c>
      <c r="AB38" s="157" t="str">
        <v>LC-130</v>
      </c>
      <c r="AC38" s="157">
        <v>45245</v>
      </c>
      <c r="AD38" s="163" t="str">
        <v>Yes</v>
      </c>
      <c r="AE38" s="163" t="str">
        <v>FY24 inter</v>
      </c>
      <c r="AF38" s="163" t="str">
        <v>FY24 intra</v>
      </c>
      <c r="AG38" s="157" t="str">
        <v>D. Gibson</v>
      </c>
      <c r="AH38" s="157">
        <v>44477</v>
      </c>
      <c r="AI38" s="157" t="str">
        <v>I. McEwen</v>
      </c>
      <c r="AJ38" s="157">
        <v>44477</v>
      </c>
      <c r="AK38" s="163" t="str">
        <v>Items identifed in prior field season - 8' container moves with contents overland or by air</v>
      </c>
      <c r="AL38" s="146" t="str">
        <v/>
      </c>
    </row>
    <row r="39" spans="1:38" ht="17.100000000000001">
      <c r="A39" s="165">
        <v>1.2</v>
      </c>
      <c r="B39" s="166" t="str">
        <v>Drill</v>
      </c>
      <c r="C39" s="167" t="str">
        <v>Drill refit components</v>
      </c>
      <c r="D39" s="167" t="str">
        <v>Single crate. Consumables/drill refit components</v>
      </c>
      <c r="E39" s="152">
        <v>96</v>
      </c>
      <c r="F39" s="152">
        <v>48</v>
      </c>
      <c r="G39" s="152">
        <v>48</v>
      </c>
      <c r="H39" s="152">
        <v>1</v>
      </c>
      <c r="I39" s="153">
        <v>128</v>
      </c>
      <c r="J39" s="153">
        <v>3000</v>
      </c>
      <c r="K39" s="154">
        <v>3000</v>
      </c>
      <c r="L39" s="152" t="str">
        <v>estimated</v>
      </c>
      <c r="M39" s="168" t="str">
        <v/>
      </c>
      <c r="N39" s="156" t="str">
        <v xml:space="preserve"> U. Wisc. Madison</v>
      </c>
      <c r="O39" s="407">
        <v>31</v>
      </c>
      <c r="P39" s="158">
        <v>45108</v>
      </c>
      <c r="Q39" s="158" t="str">
        <v>UWM - PTH</v>
      </c>
      <c r="R39" s="158">
        <v>45139</v>
      </c>
      <c r="S39" s="160" t="str">
        <v>Truck</v>
      </c>
      <c r="T39" s="160" t="str">
        <v>PTH - CHC</v>
      </c>
      <c r="U39" s="160" t="str">
        <v>-</v>
      </c>
      <c r="V39" s="162" t="str">
        <v>Comsur</v>
      </c>
      <c r="W39" s="162" t="str">
        <v>CHC-MCM</v>
      </c>
      <c r="X39" s="162" t="str">
        <v>-</v>
      </c>
      <c r="Y39" s="157" t="str">
        <v>USAP Air</v>
      </c>
      <c r="Z39" s="169">
        <v>45231</v>
      </c>
      <c r="AA39" s="156" t="str">
        <v>-</v>
      </c>
      <c r="AB39" s="157" t="str">
        <v>LC-130</v>
      </c>
      <c r="AC39" s="157">
        <v>45245</v>
      </c>
      <c r="AD39" s="163" t="str">
        <v>Yes</v>
      </c>
      <c r="AE39" s="163" t="str">
        <v>FY24 inter</v>
      </c>
      <c r="AF39" s="163" t="str">
        <v>FY24 intra</v>
      </c>
      <c r="AG39" s="157" t="str">
        <v>D. Gibson</v>
      </c>
      <c r="AH39" s="157">
        <v>44477</v>
      </c>
      <c r="AI39" s="157" t="str">
        <v>I. McEwen</v>
      </c>
      <c r="AJ39" s="157">
        <v>44477</v>
      </c>
      <c r="AK39" s="163" t="str">
        <v>Items identifed in prior field season</v>
      </c>
      <c r="AL39" s="146" t="str">
        <v/>
      </c>
    </row>
    <row r="40" spans="1:38" s="9" customFormat="1" ht="23.25" hidden="1" customHeight="1">
      <c r="A40" s="25">
        <v>1.2</v>
      </c>
      <c r="B40" s="48" t="str">
        <v>Drill</v>
      </c>
      <c r="C40" s="18" t="str">
        <v>Drill Heads DNF - X</v>
      </c>
      <c r="D40" s="496" t="str">
        <v>Drill Heads for winterover storage - ICL  - Do Not Freeze</v>
      </c>
      <c r="E40" s="23">
        <v>192</v>
      </c>
      <c r="F40" s="23">
        <v>24</v>
      </c>
      <c r="G40" s="23">
        <v>24</v>
      </c>
      <c r="H40" s="23">
        <v>1</v>
      </c>
      <c r="I40" s="22">
        <v>64</v>
      </c>
      <c r="J40" s="22">
        <v>1060</v>
      </c>
      <c r="K40" s="4">
        <v>1060</v>
      </c>
      <c r="L40" s="445" t="str">
        <v>actual</v>
      </c>
      <c r="M40" s="436" t="str">
        <v>DNF</v>
      </c>
      <c r="N40" s="427" t="str">
        <v xml:space="preserve"> U. Wisc. Madison</v>
      </c>
      <c r="O40" s="435">
        <v>440</v>
      </c>
      <c r="P40" s="428">
        <v>44440</v>
      </c>
      <c r="Q40" s="429" t="str">
        <v>UWM - PTH</v>
      </c>
      <c r="R40" s="428">
        <v>44880</v>
      </c>
      <c r="S40" s="431" t="str">
        <v>Truck</v>
      </c>
      <c r="T40" s="431" t="str">
        <v>PTH - MCM</v>
      </c>
      <c r="U40" s="431" t="str">
        <v>-</v>
      </c>
      <c r="V40" s="433" t="str">
        <v>USAP Vessel</v>
      </c>
      <c r="W40" s="433" t="str">
        <v>USAP Vessel</v>
      </c>
      <c r="X40" s="433" t="str">
        <v>-</v>
      </c>
      <c r="Y40" s="426" t="str">
        <v>-</v>
      </c>
      <c r="Z40" s="434">
        <v>44963</v>
      </c>
      <c r="AA40" s="427" t="str">
        <v>-</v>
      </c>
      <c r="AB40" s="435" t="str">
        <v>LC-130</v>
      </c>
      <c r="AC40" s="409">
        <v>44969</v>
      </c>
      <c r="AD40" s="409" t="str">
        <v>Yes</v>
      </c>
      <c r="AE40" s="409" t="str">
        <v>FY23 inter</v>
      </c>
      <c r="AF40" s="409" t="str">
        <v>FY23 intra</v>
      </c>
      <c r="AG40" s="409" t="str">
        <v>D. Gibson</v>
      </c>
      <c r="AH40" s="409">
        <v>44477</v>
      </c>
      <c r="AI40" s="409" t="str">
        <v>I. McEwen</v>
      </c>
      <c r="AJ40" s="409">
        <v>44477</v>
      </c>
      <c r="AK40" s="409" t="str">
        <v>One drill head shipped one year early for ull system wet-test</v>
      </c>
      <c r="AL40" s="9" t="str">
        <v/>
      </c>
    </row>
    <row r="41" spans="1:38" ht="23.25" customHeight="1">
      <c r="A41" s="165">
        <v>1.2</v>
      </c>
      <c r="B41" s="166" t="str">
        <v>Drill</v>
      </c>
      <c r="C41" s="170" t="str">
        <v>Drill Heads DNF - Y</v>
      </c>
      <c r="D41" s="167" t="str">
        <v>Drill Heads for winterover storage - ICL  - Do Not Freeze</v>
      </c>
      <c r="E41" s="152">
        <v>192</v>
      </c>
      <c r="F41" s="152">
        <v>24</v>
      </c>
      <c r="G41" s="152">
        <v>24</v>
      </c>
      <c r="H41" s="152">
        <v>1</v>
      </c>
      <c r="I41" s="153">
        <v>64</v>
      </c>
      <c r="J41" s="153">
        <v>1060</v>
      </c>
      <c r="K41" s="154">
        <v>1060</v>
      </c>
      <c r="L41" s="152" t="str">
        <v>actual</v>
      </c>
      <c r="M41" s="168" t="str">
        <v>DNF</v>
      </c>
      <c r="N41" s="156" t="str">
        <v xml:space="preserve"> U. Wisc. Madison</v>
      </c>
      <c r="O41" s="407">
        <v>805</v>
      </c>
      <c r="P41" s="158">
        <v>44440</v>
      </c>
      <c r="Q41" s="158" t="str">
        <v>UWM - PTH</v>
      </c>
      <c r="R41" s="158">
        <v>45245</v>
      </c>
      <c r="S41" s="160" t="str">
        <v>Truck</v>
      </c>
      <c r="T41" s="160" t="str">
        <v>PTH - MCM</v>
      </c>
      <c r="U41" s="160" t="str">
        <v>-</v>
      </c>
      <c r="V41" s="162" t="str">
        <v>USAP Vessel</v>
      </c>
      <c r="W41" s="162" t="str">
        <v>USAP Vessel</v>
      </c>
      <c r="X41" s="162" t="str">
        <v>-</v>
      </c>
      <c r="Y41" s="169" t="str">
        <v>-</v>
      </c>
      <c r="Z41" s="169">
        <v>45328</v>
      </c>
      <c r="AA41" s="156" t="str">
        <v>-</v>
      </c>
      <c r="AB41" s="157" t="str">
        <v>LC-130</v>
      </c>
      <c r="AC41" s="157">
        <v>45334</v>
      </c>
      <c r="AD41" s="163" t="str">
        <v>Yes</v>
      </c>
      <c r="AE41" s="163" t="str">
        <v>FY24 inter</v>
      </c>
      <c r="AF41" s="163" t="str">
        <v>FY24 intra</v>
      </c>
      <c r="AG41" s="157" t="str">
        <v>D. Gibson</v>
      </c>
      <c r="AH41" s="157">
        <v>44477</v>
      </c>
      <c r="AI41" s="157" t="str">
        <v>I. McEwen</v>
      </c>
      <c r="AJ41" s="157">
        <v>44477</v>
      </c>
      <c r="AK41" s="163" t="str">
        <v/>
      </c>
      <c r="AL41" s="146" t="str">
        <v/>
      </c>
    </row>
    <row r="42" spans="1:38" ht="22.5" customHeight="1">
      <c r="A42" s="165">
        <v>1.2</v>
      </c>
      <c r="B42" s="166" t="str">
        <v>Drill</v>
      </c>
      <c r="C42" s="170" t="str">
        <v>Drill Heads DNF - R</v>
      </c>
      <c r="D42" s="167" t="str">
        <v xml:space="preserve">Drill Heads for winterover storage - ICL  - Do Not Freeze </v>
      </c>
      <c r="E42" s="152">
        <v>192</v>
      </c>
      <c r="F42" s="152">
        <v>24</v>
      </c>
      <c r="G42" s="152">
        <v>24</v>
      </c>
      <c r="H42" s="152">
        <v>1</v>
      </c>
      <c r="I42" s="153">
        <v>64</v>
      </c>
      <c r="J42" s="153">
        <v>1060</v>
      </c>
      <c r="K42" s="154">
        <v>1060</v>
      </c>
      <c r="L42" s="152" t="str">
        <v>actual</v>
      </c>
      <c r="M42" s="168" t="str">
        <v>DNF</v>
      </c>
      <c r="N42" s="156" t="str">
        <v xml:space="preserve"> U. Wisc. Madison</v>
      </c>
      <c r="O42" s="407">
        <v>805</v>
      </c>
      <c r="P42" s="158">
        <v>44440</v>
      </c>
      <c r="Q42" s="158" t="str">
        <v>UWM - PTH</v>
      </c>
      <c r="R42" s="158">
        <v>45245</v>
      </c>
      <c r="S42" s="160" t="str">
        <v>Truck</v>
      </c>
      <c r="T42" s="160" t="str">
        <v>PTH - MCM</v>
      </c>
      <c r="U42" s="160" t="str">
        <v>-</v>
      </c>
      <c r="V42" s="162" t="str">
        <v>USAP Vessel</v>
      </c>
      <c r="W42" s="162" t="str">
        <v>USAP Vessel</v>
      </c>
      <c r="X42" s="162" t="str">
        <v>-</v>
      </c>
      <c r="Y42" s="169" t="str">
        <v>-</v>
      </c>
      <c r="Z42" s="169">
        <v>45328</v>
      </c>
      <c r="AA42" s="156" t="str">
        <v>-</v>
      </c>
      <c r="AB42" s="157" t="str">
        <v>LC-130</v>
      </c>
      <c r="AC42" s="157">
        <v>45334</v>
      </c>
      <c r="AD42" s="163" t="str">
        <v>Yes</v>
      </c>
      <c r="AE42" s="163" t="str">
        <v>FY24 inter</v>
      </c>
      <c r="AF42" s="163" t="str">
        <v>FY24 intra</v>
      </c>
      <c r="AG42" s="157" t="str">
        <v>D. Gibson</v>
      </c>
      <c r="AH42" s="157">
        <v>44477</v>
      </c>
      <c r="AI42" s="157" t="str">
        <v>I. McEwen</v>
      </c>
      <c r="AJ42" s="157">
        <v>44477</v>
      </c>
      <c r="AK42" s="163" t="str">
        <v/>
      </c>
      <c r="AL42" s="146" t="str">
        <v/>
      </c>
    </row>
    <row r="43" spans="1:38" s="9" customFormat="1" ht="34.5" hidden="1" customHeight="1">
      <c r="A43" s="25">
        <v>1.2</v>
      </c>
      <c r="B43" s="48" t="str">
        <v>Drill</v>
      </c>
      <c r="C43" s="3" t="str">
        <v>Computing/controls components</v>
      </c>
      <c r="D43" s="496" t="str">
        <v>Computing and controls equipment (Sensor, motor drives and other sensitive electronics) - Do Not Freeze</v>
      </c>
      <c r="E43" s="4">
        <v>96</v>
      </c>
      <c r="F43" s="4">
        <v>48</v>
      </c>
      <c r="G43" s="4">
        <v>48</v>
      </c>
      <c r="H43" s="23">
        <v>1</v>
      </c>
      <c r="I43" s="22">
        <v>128</v>
      </c>
      <c r="J43" s="22">
        <v>3000</v>
      </c>
      <c r="K43" s="4">
        <v>3000</v>
      </c>
      <c r="L43" s="23" t="str">
        <v>estimated</v>
      </c>
      <c r="M43" s="6" t="str">
        <v>DNF</v>
      </c>
      <c r="N43" s="427" t="str">
        <v xml:space="preserve"> U. Wisc. Madison</v>
      </c>
      <c r="O43" s="435">
        <v>31</v>
      </c>
      <c r="P43" s="443">
        <v>45474</v>
      </c>
      <c r="Q43" s="429" t="str">
        <v>UWM - PTH</v>
      </c>
      <c r="R43" s="428">
        <v>45505</v>
      </c>
      <c r="S43" s="430" t="str">
        <v>Truck</v>
      </c>
      <c r="T43" s="431" t="str">
        <v>PTH - CHC</v>
      </c>
      <c r="U43" s="431" t="str">
        <v>-</v>
      </c>
      <c r="V43" s="432" t="str">
        <v>ComSur</v>
      </c>
      <c r="W43" s="433" t="str">
        <v>CHC-MCM</v>
      </c>
      <c r="X43" s="433" t="str">
        <v>-</v>
      </c>
      <c r="Y43" s="435" t="str">
        <v>USAP Air</v>
      </c>
      <c r="Z43" s="434">
        <v>45597</v>
      </c>
      <c r="AA43" s="409" t="str">
        <v>-</v>
      </c>
      <c r="AB43" s="435" t="str">
        <v>LC-130</v>
      </c>
      <c r="AC43" s="409">
        <v>45611</v>
      </c>
      <c r="AD43" s="409" t="str">
        <v>Yes</v>
      </c>
      <c r="AE43" s="409" t="str">
        <v>FY25 inter</v>
      </c>
      <c r="AF43" s="409" t="str">
        <v>FY25 intra</v>
      </c>
      <c r="AG43" s="409" t="str">
        <v>D. Gibson</v>
      </c>
      <c r="AH43" s="409">
        <v>44477</v>
      </c>
      <c r="AI43" s="409" t="str">
        <v>I. McEwen</v>
      </c>
      <c r="AJ43" s="409">
        <v>44477</v>
      </c>
      <c r="AK43" s="409" t="str">
        <v/>
      </c>
      <c r="AL43" s="9" t="str">
        <v/>
      </c>
    </row>
    <row r="44" spans="1:38" ht="21.75" customHeight="1">
      <c r="A44" s="171">
        <v>1.2</v>
      </c>
      <c r="B44" s="172" t="str">
        <v>Installation</v>
      </c>
      <c r="C44" s="173" t="str">
        <v xml:space="preserve">Installation Hardware  87-93 </v>
      </c>
      <c r="D44" s="173" t="str">
        <v>Installation hardware for winterover storage at Pole</v>
      </c>
      <c r="E44" s="174">
        <v>96</v>
      </c>
      <c r="F44" s="174">
        <v>48</v>
      </c>
      <c r="G44" s="174">
        <v>48</v>
      </c>
      <c r="H44" s="152">
        <v>7</v>
      </c>
      <c r="I44" s="153">
        <v>896</v>
      </c>
      <c r="J44" s="153">
        <v>1000</v>
      </c>
      <c r="K44" s="154">
        <v>7000</v>
      </c>
      <c r="L44" s="174" t="str">
        <v>estimated</v>
      </c>
      <c r="M44" s="175" t="str">
        <v/>
      </c>
      <c r="N44" s="156" t="str">
        <v xml:space="preserve"> U. Wisc. Madison</v>
      </c>
      <c r="O44" s="407">
        <v>123</v>
      </c>
      <c r="P44" s="158">
        <v>45122</v>
      </c>
      <c r="Q44" s="158" t="str">
        <v>UWM - PTH</v>
      </c>
      <c r="R44" s="158">
        <v>45245</v>
      </c>
      <c r="S44" s="159" t="str">
        <v>Truck</v>
      </c>
      <c r="T44" s="160" t="str">
        <v>PTH - MCM</v>
      </c>
      <c r="U44" s="160" t="str">
        <v>-</v>
      </c>
      <c r="V44" s="162" t="str">
        <v>USAP Vessel</v>
      </c>
      <c r="W44" s="162" t="str">
        <v>USAP Vessel</v>
      </c>
      <c r="X44" s="162" t="str">
        <v>-</v>
      </c>
      <c r="Y44" s="169" t="str">
        <v>-</v>
      </c>
      <c r="Z44" s="169">
        <v>45328</v>
      </c>
      <c r="AA44" s="156" t="str">
        <v>-</v>
      </c>
      <c r="AB44" s="157" t="str">
        <v>LC-130</v>
      </c>
      <c r="AC44" s="157">
        <v>45337</v>
      </c>
      <c r="AD44" s="163" t="str">
        <v>Yes</v>
      </c>
      <c r="AE44" s="163" t="str">
        <v>FY24 inter</v>
      </c>
      <c r="AF44" s="163" t="str">
        <v>FY24 intra</v>
      </c>
      <c r="AG44" s="157" t="str">
        <v>D. Tosi</v>
      </c>
      <c r="AH44" s="157">
        <v>44461</v>
      </c>
      <c r="AI44" s="157" t="str">
        <v>I. McEwen</v>
      </c>
      <c r="AJ44" s="157">
        <v>44461</v>
      </c>
      <c r="AK44" s="163" t="str">
        <v/>
      </c>
      <c r="AL44" s="146" t="str">
        <v/>
      </c>
    </row>
    <row r="45" spans="1:38" ht="32.450000000000003" customHeight="1">
      <c r="A45" s="171">
        <v>1.2</v>
      </c>
      <c r="B45" s="172" t="str">
        <v>Installation</v>
      </c>
      <c r="C45" s="173" t="str">
        <v xml:space="preserve">Installation Weights  87-93 </v>
      </c>
      <c r="D45" s="173" t="str">
        <v>Installation weights for winterover storage at Pole</v>
      </c>
      <c r="E45" s="174">
        <v>36</v>
      </c>
      <c r="F45" s="174">
        <v>24</v>
      </c>
      <c r="G45" s="174">
        <v>24</v>
      </c>
      <c r="H45" s="152">
        <v>7</v>
      </c>
      <c r="I45" s="153">
        <v>84</v>
      </c>
      <c r="J45" s="153">
        <v>785.71428571428567</v>
      </c>
      <c r="K45" s="154">
        <v>5500</v>
      </c>
      <c r="L45" s="174" t="str">
        <v>estimated</v>
      </c>
      <c r="M45" s="175" t="str">
        <v/>
      </c>
      <c r="N45" s="156" t="str">
        <v xml:space="preserve"> U. Wisc. Madison</v>
      </c>
      <c r="O45" s="407">
        <v>123</v>
      </c>
      <c r="P45" s="158">
        <v>45122</v>
      </c>
      <c r="Q45" s="158" t="str">
        <v>UWM - PTH</v>
      </c>
      <c r="R45" s="158">
        <v>45245</v>
      </c>
      <c r="S45" s="159" t="str">
        <v>Truck</v>
      </c>
      <c r="T45" s="160" t="str">
        <v>PTH - MCM</v>
      </c>
      <c r="U45" s="160" t="str">
        <v>-</v>
      </c>
      <c r="V45" s="162" t="str">
        <v>USAP Vessel</v>
      </c>
      <c r="W45" s="162" t="str">
        <v>USAP Vessel</v>
      </c>
      <c r="X45" s="162" t="str">
        <v>-</v>
      </c>
      <c r="Y45" s="169" t="str">
        <v>-</v>
      </c>
      <c r="Z45" s="169">
        <v>45328</v>
      </c>
      <c r="AA45" s="156" t="str">
        <v>-</v>
      </c>
      <c r="AB45" s="157" t="str">
        <v>LC-130</v>
      </c>
      <c r="AC45" s="157">
        <v>45337</v>
      </c>
      <c r="AD45" s="163" t="str">
        <v>Yes</v>
      </c>
      <c r="AE45" s="163" t="str">
        <v>FY24 inter</v>
      </c>
      <c r="AF45" s="163" t="str">
        <v>FY24 intra</v>
      </c>
      <c r="AG45" s="157" t="str">
        <v>D. Tosi</v>
      </c>
      <c r="AH45" s="157">
        <v>44461</v>
      </c>
      <c r="AI45" s="157" t="str">
        <v>I. McEwen</v>
      </c>
      <c r="AJ45" s="157">
        <v>44461</v>
      </c>
      <c r="AK45" s="163" t="str">
        <v/>
      </c>
      <c r="AL45" s="146" t="str">
        <v/>
      </c>
    </row>
    <row r="46" spans="1:38" ht="33.950000000000003">
      <c r="A46" s="165">
        <v>1.5</v>
      </c>
      <c r="B46" s="166" t="str">
        <v>Installation</v>
      </c>
      <c r="C46" s="167" t="str">
        <v>Calibration/Special Devices 87-88</v>
      </c>
      <c r="D46" s="167" t="str">
        <v>3+1 PencilBeams from UW, 2+1 pDOM and 1+1 LOMs - Do Not Deep Freeze</v>
      </c>
      <c r="E46" s="152">
        <v>58</v>
      </c>
      <c r="F46" s="152">
        <v>38</v>
      </c>
      <c r="G46" s="152">
        <v>41</v>
      </c>
      <c r="H46" s="152">
        <v>1</v>
      </c>
      <c r="I46" s="153">
        <v>52.293981481481481</v>
      </c>
      <c r="J46" s="153">
        <v>836</v>
      </c>
      <c r="K46" s="154">
        <v>836</v>
      </c>
      <c r="L46" s="152" t="str">
        <v>estimated</v>
      </c>
      <c r="M46" s="168" t="str">
        <v>DNDF [-40C]</v>
      </c>
      <c r="N46" s="156" t="str">
        <v xml:space="preserve"> U. Wisc. Madison</v>
      </c>
      <c r="O46" s="407">
        <v>244</v>
      </c>
      <c r="P46" s="158">
        <v>44895</v>
      </c>
      <c r="Q46" s="158" t="str">
        <v>UWM - PTH</v>
      </c>
      <c r="R46" s="158">
        <v>45139</v>
      </c>
      <c r="S46" s="159" t="str">
        <v>Truck</v>
      </c>
      <c r="T46" s="160" t="str">
        <v>PTH - CHC</v>
      </c>
      <c r="U46" s="160" t="str">
        <v>-</v>
      </c>
      <c r="V46" s="162" t="str">
        <v>ComSur</v>
      </c>
      <c r="W46" s="162" t="str">
        <v>CHC-MCM</v>
      </c>
      <c r="X46" s="162" t="str">
        <v>-</v>
      </c>
      <c r="Y46" s="157" t="str">
        <v>USAP Air</v>
      </c>
      <c r="Z46" s="169">
        <v>45231</v>
      </c>
      <c r="AA46" s="163" t="str">
        <v>-</v>
      </c>
      <c r="AB46" s="157" t="str">
        <v>LC-130</v>
      </c>
      <c r="AC46" s="157">
        <v>45275</v>
      </c>
      <c r="AD46" s="163" t="str">
        <v>Yes</v>
      </c>
      <c r="AE46" s="163" t="str">
        <v>FY24 inter</v>
      </c>
      <c r="AF46" s="163" t="str">
        <v>FY24 intra</v>
      </c>
      <c r="AG46" s="157" t="str">
        <v>D. Williams</v>
      </c>
      <c r="AH46" s="157">
        <v>44482</v>
      </c>
      <c r="AI46" s="157" t="str">
        <v>D. Tosi</v>
      </c>
      <c r="AJ46" s="157">
        <v>44482</v>
      </c>
      <c r="AK46" s="163" t="str">
        <v/>
      </c>
      <c r="AL46" s="146" t="str">
        <v/>
      </c>
    </row>
    <row r="47" spans="1:38" ht="68.099999999999994">
      <c r="A47" s="165">
        <v>1.3</v>
      </c>
      <c r="B47" s="166" t="str">
        <v>Installation</v>
      </c>
      <c r="C47" s="167" t="str">
        <v>Special Devices 87-88</v>
      </c>
      <c r="D47" s="167" t="str">
        <v>Special devices for 2 strings from UW (4+1 Radio Pulsers (all strings) 1+1 Radio Receivers, 3+1 FOM)  - Do Not Deep Freeze</v>
      </c>
      <c r="E47" s="152">
        <v>63</v>
      </c>
      <c r="F47" s="152">
        <v>40</v>
      </c>
      <c r="G47" s="152">
        <v>42</v>
      </c>
      <c r="H47" s="152">
        <v>1</v>
      </c>
      <c r="I47" s="153">
        <v>61.25</v>
      </c>
      <c r="J47" s="153">
        <v>677</v>
      </c>
      <c r="K47" s="154">
        <v>677</v>
      </c>
      <c r="L47" s="152" t="str">
        <v>preliminary</v>
      </c>
      <c r="M47" s="168" t="str">
        <v>DNDF [-40C]</v>
      </c>
      <c r="N47" s="156" t="str">
        <v>UWM/Kansas</v>
      </c>
      <c r="O47" s="407">
        <v>212</v>
      </c>
      <c r="P47" s="158">
        <v>44927</v>
      </c>
      <c r="Q47" s="158" t="str">
        <v>UWM - PTH</v>
      </c>
      <c r="R47" s="158">
        <v>45139</v>
      </c>
      <c r="S47" s="159" t="str">
        <v>Truck</v>
      </c>
      <c r="T47" s="160" t="str">
        <v>PTH - CHC</v>
      </c>
      <c r="U47" s="160" t="str">
        <v>-</v>
      </c>
      <c r="V47" s="162" t="str">
        <v>ComSur</v>
      </c>
      <c r="W47" s="162" t="str">
        <v>CHC-MCM</v>
      </c>
      <c r="X47" s="162" t="str">
        <v>-</v>
      </c>
      <c r="Y47" s="157" t="str">
        <v>USAP Air</v>
      </c>
      <c r="Z47" s="169">
        <v>45231</v>
      </c>
      <c r="AA47" s="156" t="str">
        <v>-</v>
      </c>
      <c r="AB47" s="157" t="str">
        <v>LC-130</v>
      </c>
      <c r="AC47" s="157">
        <v>45275</v>
      </c>
      <c r="AD47" s="163" t="str">
        <v>Yes</v>
      </c>
      <c r="AE47" s="163" t="str">
        <v>FY24 inter</v>
      </c>
      <c r="AF47" s="163" t="str">
        <v>FY24 intra</v>
      </c>
      <c r="AG47" s="157" t="str">
        <v>S. Boeser</v>
      </c>
      <c r="AH47" s="157">
        <v>44482</v>
      </c>
      <c r="AI47" s="157" t="str">
        <v>D. Tosi</v>
      </c>
      <c r="AJ47" s="157">
        <v>44482</v>
      </c>
      <c r="AK47" s="163" t="str">
        <v>4+1 Radio Pulser, weight  50 kg. 1+1 Radio receiver, assume mDOM weight, 3+1 FOM (assume mDOM weight) + 2ftx2ftx4ft FOM box (50 lbs).  Special Devices from UW. FTS, seismometer missing from estimate.  250 lbs crate estimate</v>
      </c>
      <c r="AL47" s="146" t="str">
        <v/>
      </c>
    </row>
    <row r="48" spans="1:38" ht="30" customHeight="1">
      <c r="A48" s="165">
        <v>1.2</v>
      </c>
      <c r="B48" s="166" t="str">
        <v>Installation</v>
      </c>
      <c r="C48" s="164" t="str">
        <v>Misc. Science Equipment - FY24</v>
      </c>
      <c r="D48" s="164" t="str">
        <v xml:space="preserve">Scientific and test equipment (SPAT, DCM et al.) - Do Not Freeze </v>
      </c>
      <c r="E48" s="176">
        <v>48</v>
      </c>
      <c r="F48" s="176">
        <v>48</v>
      </c>
      <c r="G48" s="176">
        <v>48</v>
      </c>
      <c r="H48" s="152">
        <v>1</v>
      </c>
      <c r="I48" s="153">
        <v>64</v>
      </c>
      <c r="J48" s="153">
        <v>1500</v>
      </c>
      <c r="K48" s="154">
        <v>1500</v>
      </c>
      <c r="L48" s="176" t="str">
        <v>estimated</v>
      </c>
      <c r="M48" s="177" t="str">
        <v>DNF</v>
      </c>
      <c r="N48" s="156" t="str">
        <v xml:space="preserve"> U. Wisc. Madison</v>
      </c>
      <c r="O48" s="407">
        <v>61</v>
      </c>
      <c r="P48" s="158">
        <v>45078</v>
      </c>
      <c r="Q48" s="158" t="str">
        <v>UWM - PTH</v>
      </c>
      <c r="R48" s="158">
        <v>45139</v>
      </c>
      <c r="S48" s="159" t="str">
        <v>Truck</v>
      </c>
      <c r="T48" s="160" t="str">
        <v>PTH - CHC</v>
      </c>
      <c r="U48" s="160" t="str">
        <v>-</v>
      </c>
      <c r="V48" s="162" t="str">
        <v>ComSur</v>
      </c>
      <c r="W48" s="162" t="str">
        <v>CHC-MCM</v>
      </c>
      <c r="X48" s="162" t="str">
        <v>-</v>
      </c>
      <c r="Y48" s="157" t="str">
        <v>USAP Air</v>
      </c>
      <c r="Z48" s="169">
        <v>45231</v>
      </c>
      <c r="AA48" s="156" t="str">
        <v>-</v>
      </c>
      <c r="AB48" s="157" t="str">
        <v>LC-130</v>
      </c>
      <c r="AC48" s="157">
        <v>45261</v>
      </c>
      <c r="AD48" s="163" t="str">
        <v>Yes</v>
      </c>
      <c r="AE48" s="163" t="str">
        <v>FY24 inter</v>
      </c>
      <c r="AF48" s="163" t="str">
        <v>FY24 intra</v>
      </c>
      <c r="AG48" s="157" t="str">
        <v>T. Karg</v>
      </c>
      <c r="AH48" s="157">
        <v>44477</v>
      </c>
      <c r="AI48" s="157" t="str">
        <v>D. Tosi</v>
      </c>
      <c r="AJ48" s="157">
        <v>44477</v>
      </c>
      <c r="AK48" s="163" t="str">
        <v/>
      </c>
      <c r="AL48" s="146" t="str">
        <v/>
      </c>
    </row>
    <row r="49" spans="1:40" s="9" customFormat="1" ht="32.450000000000003" hidden="1" customHeight="1">
      <c r="A49" s="25">
        <v>1.3</v>
      </c>
      <c r="B49" s="48" t="str">
        <v>Installation</v>
      </c>
      <c r="C49" s="71" t="str">
        <v>Special Devices 89-93</v>
      </c>
      <c r="D49" s="3" t="str">
        <v>Special devices for 5 remaining strings from UW (4+1 FOM,2+1 Radio Receivers, 11+1 LOM + seismometer*) - Do Not Deep Freeze</v>
      </c>
      <c r="E49" s="23">
        <v>81</v>
      </c>
      <c r="F49" s="23">
        <v>56</v>
      </c>
      <c r="G49" s="23">
        <v>51</v>
      </c>
      <c r="H49" s="23">
        <v>1</v>
      </c>
      <c r="I49" s="22">
        <v>133.875</v>
      </c>
      <c r="J49" s="22">
        <v>1797</v>
      </c>
      <c r="K49" s="4">
        <v>1797</v>
      </c>
      <c r="L49" s="445" t="str">
        <v>estimated</v>
      </c>
      <c r="M49" s="6" t="str">
        <v>DNDF [-40C]</v>
      </c>
      <c r="N49" s="10" t="str">
        <v>UWM/Kansas</v>
      </c>
      <c r="O49" s="435">
        <v>213</v>
      </c>
      <c r="P49" s="443">
        <v>45292</v>
      </c>
      <c r="Q49" s="429" t="str">
        <v>UWM - PTH</v>
      </c>
      <c r="R49" s="428">
        <v>45505</v>
      </c>
      <c r="S49" s="430" t="str">
        <v>Truck</v>
      </c>
      <c r="T49" s="431" t="str">
        <v>PTH - CHC</v>
      </c>
      <c r="U49" s="431" t="str">
        <v>-</v>
      </c>
      <c r="V49" s="433" t="str">
        <v>ComAir</v>
      </c>
      <c r="W49" s="433" t="str">
        <v>CHC-MCM</v>
      </c>
      <c r="X49" s="433" t="str">
        <v>-</v>
      </c>
      <c r="Y49" s="435" t="str">
        <v>USAP Air</v>
      </c>
      <c r="Z49" s="434">
        <v>45597</v>
      </c>
      <c r="AA49" s="427" t="str">
        <v>-</v>
      </c>
      <c r="AB49" s="435" t="str">
        <v>LC-130</v>
      </c>
      <c r="AC49" s="409">
        <v>45621</v>
      </c>
      <c r="AD49" s="409" t="str">
        <v>Yes</v>
      </c>
      <c r="AE49" s="409" t="str">
        <v>FY25 inter</v>
      </c>
      <c r="AF49" s="409" t="str">
        <v>FY25 intra</v>
      </c>
      <c r="AG49" s="409" t="str">
        <v>S. Boeser</v>
      </c>
      <c r="AH49" s="409">
        <v>44482</v>
      </c>
      <c r="AI49" s="409" t="str">
        <v>D. Tosi</v>
      </c>
      <c r="AJ49" s="409">
        <v>44482</v>
      </c>
      <c r="AK49" s="409" t="str">
        <v xml:space="preserve">21 Special Devices from USA (11+ 1 LOM, 4+1 FOM, 2+1 RR, FTS ? , seismometer), assume mDOM weight. 200 lbs wood crate. FTS not included. (*) Seismometer not yet in CMD </v>
      </c>
      <c r="AL49" s="9" t="str">
        <v/>
      </c>
    </row>
    <row r="50" spans="1:40" s="9" customFormat="1" ht="32.450000000000003" hidden="1" customHeight="1">
      <c r="A50" s="25">
        <v>1.5</v>
      </c>
      <c r="B50" s="48" t="str">
        <v>Installation</v>
      </c>
      <c r="C50" s="3" t="str">
        <v>Calibration/Special Devices  89-93</v>
      </c>
      <c r="D50" s="3" t="str">
        <v>8+1 PencilBeams, 12+1 pDOMs from UW - Do Not Deep Freeze</v>
      </c>
      <c r="E50" s="23">
        <v>75</v>
      </c>
      <c r="F50" s="23">
        <v>56.5</v>
      </c>
      <c r="G50" s="445">
        <v>41</v>
      </c>
      <c r="H50" s="23">
        <v>1</v>
      </c>
      <c r="I50" s="22">
        <v>100.54253472222223</v>
      </c>
      <c r="J50" s="22">
        <v>1602</v>
      </c>
      <c r="K50" s="4">
        <v>1602</v>
      </c>
      <c r="L50" s="23" t="str">
        <v>preliminary</v>
      </c>
      <c r="M50" s="6" t="str">
        <v>DNDF [-40C]</v>
      </c>
      <c r="N50" s="427" t="str">
        <v xml:space="preserve"> U. Wisc. Madison</v>
      </c>
      <c r="O50" s="435">
        <v>352</v>
      </c>
      <c r="P50" s="428">
        <v>45153</v>
      </c>
      <c r="Q50" s="429" t="str">
        <v>UWM - PTH</v>
      </c>
      <c r="R50" s="428">
        <v>45505</v>
      </c>
      <c r="S50" s="430" t="str">
        <v>Truck</v>
      </c>
      <c r="T50" s="431" t="str">
        <v>PTH - CHC</v>
      </c>
      <c r="U50" s="431" t="str">
        <v>-</v>
      </c>
      <c r="V50" s="433" t="str">
        <v>ComSur</v>
      </c>
      <c r="W50" s="433" t="str">
        <v>CHC-MCM</v>
      </c>
      <c r="X50" s="433" t="str">
        <v>-</v>
      </c>
      <c r="Y50" s="435" t="str">
        <v>USAP Air</v>
      </c>
      <c r="Z50" s="434">
        <v>45597</v>
      </c>
      <c r="AA50" s="427" t="str">
        <v>-</v>
      </c>
      <c r="AB50" s="435" t="str">
        <v>LC-130</v>
      </c>
      <c r="AC50" s="409">
        <v>45621</v>
      </c>
      <c r="AD50" s="409" t="str">
        <v>Yes</v>
      </c>
      <c r="AE50" s="409" t="str">
        <v>FY25 inter</v>
      </c>
      <c r="AF50" s="409" t="str">
        <v>FY25 intra</v>
      </c>
      <c r="AG50" s="409" t="str">
        <v>D. Williams</v>
      </c>
      <c r="AH50" s="409">
        <v>44482</v>
      </c>
      <c r="AI50" s="409" t="str">
        <v>D. Tosi</v>
      </c>
      <c r="AJ50" s="409">
        <v>44474</v>
      </c>
      <c r="AK50" s="409" t="str">
        <v xml:space="preserve">8+1 PencilBeams for strings 89-93, 12+1 pDOMs, assume mDOM weight. 244 lbs crate. </v>
      </c>
      <c r="AL50" s="9" t="str">
        <v/>
      </c>
    </row>
    <row r="51" spans="1:40" s="9" customFormat="1" ht="27" hidden="1" customHeight="1">
      <c r="A51" s="37">
        <v>1.2</v>
      </c>
      <c r="B51" s="70" t="str">
        <v>Installation</v>
      </c>
      <c r="C51" s="1" t="str">
        <v>Misc. Science Equipment - FY25</v>
      </c>
      <c r="D51" s="1" t="str">
        <v>Scientific and test equipment  (Handheld test devices, Paros, et al.) - Do Not Freeze</v>
      </c>
      <c r="E51" s="38">
        <v>48</v>
      </c>
      <c r="F51" s="38">
        <v>48</v>
      </c>
      <c r="G51" s="38">
        <v>48</v>
      </c>
      <c r="H51" s="23">
        <v>1</v>
      </c>
      <c r="I51" s="22">
        <v>64</v>
      </c>
      <c r="J51" s="22">
        <v>1500</v>
      </c>
      <c r="K51" s="4">
        <v>1500</v>
      </c>
      <c r="L51" s="449" t="str">
        <v>estimated</v>
      </c>
      <c r="M51" s="439" t="str">
        <v>DNF</v>
      </c>
      <c r="N51" s="427" t="str">
        <v xml:space="preserve"> U. Wisc. Madison</v>
      </c>
      <c r="O51" s="435">
        <v>61</v>
      </c>
      <c r="P51" s="428">
        <v>45444</v>
      </c>
      <c r="Q51" s="429" t="str">
        <v>UWM - PTH</v>
      </c>
      <c r="R51" s="428">
        <v>45505</v>
      </c>
      <c r="S51" s="430" t="str">
        <v>Truck</v>
      </c>
      <c r="T51" s="431" t="str">
        <v>PTH - CHC</v>
      </c>
      <c r="U51" s="431" t="str">
        <v>-</v>
      </c>
      <c r="V51" s="433" t="str">
        <v>ComSur</v>
      </c>
      <c r="W51" s="433" t="str">
        <v>CHC-MCM</v>
      </c>
      <c r="X51" s="433" t="str">
        <v>-</v>
      </c>
      <c r="Y51" s="435" t="str">
        <v>USAP Air</v>
      </c>
      <c r="Z51" s="434">
        <v>45597</v>
      </c>
      <c r="AA51" s="427" t="str">
        <v>-</v>
      </c>
      <c r="AB51" s="435" t="str">
        <v>LC-130</v>
      </c>
      <c r="AC51" s="409">
        <v>45627</v>
      </c>
      <c r="AD51" s="409" t="str">
        <v>Yes</v>
      </c>
      <c r="AE51" s="409" t="str">
        <v>FY25 inter</v>
      </c>
      <c r="AF51" s="409" t="str">
        <v>FY25 intra</v>
      </c>
      <c r="AG51" s="409" t="str">
        <v>D. Tosi</v>
      </c>
      <c r="AH51" s="409">
        <v>44477</v>
      </c>
      <c r="AI51" s="409" t="str">
        <v>D. Tosi</v>
      </c>
      <c r="AJ51" s="409">
        <v>44477</v>
      </c>
      <c r="AK51" s="409" t="str">
        <v/>
      </c>
      <c r="AL51" s="9" t="str">
        <v/>
      </c>
    </row>
    <row r="52" spans="1:40" s="9" customFormat="1" ht="33.950000000000003" hidden="1">
      <c r="A52" s="25">
        <v>1.5</v>
      </c>
      <c r="B52" s="48" t="str">
        <v>Installation</v>
      </c>
      <c r="C52" s="3" t="str">
        <v>Dust logging device</v>
      </c>
      <c r="D52" s="3" t="str">
        <v>Blue Logging device - sensitive equipment - Do Not Freeze</v>
      </c>
      <c r="E52" s="23">
        <v>48</v>
      </c>
      <c r="F52" s="23">
        <v>17</v>
      </c>
      <c r="G52" s="23">
        <v>17</v>
      </c>
      <c r="H52" s="23">
        <v>1</v>
      </c>
      <c r="I52" s="22">
        <v>8.0277777777777786</v>
      </c>
      <c r="J52" s="22">
        <v>60</v>
      </c>
      <c r="K52" s="4">
        <v>60</v>
      </c>
      <c r="L52" s="445" t="str">
        <v>actual</v>
      </c>
      <c r="M52" s="436" t="str">
        <v>DNF</v>
      </c>
      <c r="N52" s="427" t="str">
        <v xml:space="preserve"> U. Wisc. Madison</v>
      </c>
      <c r="O52" s="435">
        <v>61</v>
      </c>
      <c r="P52" s="443">
        <v>45444</v>
      </c>
      <c r="Q52" s="429" t="str">
        <v>UWM - PTH</v>
      </c>
      <c r="R52" s="428">
        <v>45505</v>
      </c>
      <c r="S52" s="430" t="str">
        <v>Truck</v>
      </c>
      <c r="T52" s="431" t="str">
        <v>PTH - CHC</v>
      </c>
      <c r="U52" s="431" t="str">
        <v>-</v>
      </c>
      <c r="V52" s="433" t="str">
        <v>ComAir</v>
      </c>
      <c r="W52" s="433" t="str">
        <v>CHC-MCM</v>
      </c>
      <c r="X52" s="433" t="str">
        <v>-</v>
      </c>
      <c r="Y52" s="435" t="str">
        <v>USAP Air</v>
      </c>
      <c r="Z52" s="434">
        <v>45597</v>
      </c>
      <c r="AA52" s="427" t="str">
        <v>-</v>
      </c>
      <c r="AB52" s="435" t="str">
        <v>LC-130</v>
      </c>
      <c r="AC52" s="409">
        <v>45621</v>
      </c>
      <c r="AD52" s="409" t="str">
        <v>Yes</v>
      </c>
      <c r="AE52" s="409" t="str">
        <v>FY25 inter</v>
      </c>
      <c r="AF52" s="409" t="str">
        <v>FY25 intra</v>
      </c>
      <c r="AG52" s="409" t="str">
        <v>D. Williams</v>
      </c>
      <c r="AH52" s="409">
        <v>44483</v>
      </c>
      <c r="AI52" s="409" t="str">
        <v>D. Tosi</v>
      </c>
      <c r="AJ52" s="409">
        <v>44457</v>
      </c>
      <c r="AK52" s="409" t="str">
        <v>Used weights from last deployment season shipment data (could be combined)</v>
      </c>
      <c r="AL52" s="9" t="str">
        <v/>
      </c>
    </row>
    <row r="53" spans="1:40" s="9" customFormat="1" ht="33.950000000000003" hidden="1">
      <c r="A53" s="25">
        <v>1.5</v>
      </c>
      <c r="B53" s="48" t="str">
        <v>Installation</v>
      </c>
      <c r="C53" s="3" t="str">
        <v>Dust logging device</v>
      </c>
      <c r="D53" s="3" t="str">
        <v>Green Logging device - sensitive equipment - Do Not Freeze</v>
      </c>
      <c r="E53" s="23">
        <v>48</v>
      </c>
      <c r="F53" s="23">
        <v>17</v>
      </c>
      <c r="G53" s="23">
        <v>17</v>
      </c>
      <c r="H53" s="23">
        <v>1</v>
      </c>
      <c r="I53" s="22">
        <v>8.0277777777777786</v>
      </c>
      <c r="J53" s="22">
        <v>60</v>
      </c>
      <c r="K53" s="4">
        <v>60</v>
      </c>
      <c r="L53" s="445" t="str">
        <v>actual</v>
      </c>
      <c r="M53" s="436" t="str">
        <v>DNF</v>
      </c>
      <c r="N53" s="427" t="str">
        <v xml:space="preserve"> U. Wisc. Madison</v>
      </c>
      <c r="O53" s="435">
        <v>61</v>
      </c>
      <c r="P53" s="443">
        <v>45444</v>
      </c>
      <c r="Q53" s="429" t="str">
        <v>UWM - PTH</v>
      </c>
      <c r="R53" s="428">
        <v>45505</v>
      </c>
      <c r="S53" s="430" t="str">
        <v>Truck</v>
      </c>
      <c r="T53" s="431" t="str">
        <v>PTH - CHC</v>
      </c>
      <c r="U53" s="431" t="str">
        <v>-</v>
      </c>
      <c r="V53" s="433" t="str">
        <v>ComAir</v>
      </c>
      <c r="W53" s="433" t="str">
        <v>CHC-MCM</v>
      </c>
      <c r="X53" s="433" t="str">
        <v>-</v>
      </c>
      <c r="Y53" s="435" t="str">
        <v>USAP Air</v>
      </c>
      <c r="Z53" s="434">
        <v>45597</v>
      </c>
      <c r="AA53" s="427" t="str">
        <v>-</v>
      </c>
      <c r="AB53" s="435" t="str">
        <v>LC-130</v>
      </c>
      <c r="AC53" s="409">
        <v>45621</v>
      </c>
      <c r="AD53" s="409" t="str">
        <v>Yes</v>
      </c>
      <c r="AE53" s="409" t="str">
        <v>FY25 inter</v>
      </c>
      <c r="AF53" s="409" t="str">
        <v>FY25 intra</v>
      </c>
      <c r="AG53" s="409" t="str">
        <v>D. Williams</v>
      </c>
      <c r="AH53" s="409">
        <v>44483</v>
      </c>
      <c r="AI53" s="409" t="str">
        <v>D. Tosi</v>
      </c>
      <c r="AJ53" s="409">
        <v>44458</v>
      </c>
      <c r="AK53" s="409" t="str">
        <v>Used weights from last deployment season shipment data (could be combined)</v>
      </c>
      <c r="AL53" s="9" t="str">
        <v/>
      </c>
    </row>
    <row r="54" spans="1:40" s="9" customFormat="1" ht="33.950000000000003" hidden="1">
      <c r="A54" s="25">
        <v>1.5</v>
      </c>
      <c r="B54" s="48" t="str">
        <v>Installation</v>
      </c>
      <c r="C54" s="3" t="str">
        <v>Dust logging device</v>
      </c>
      <c r="D54" s="3" t="str">
        <v>Electronics parts - sensitive equipment - Do Not Freeze</v>
      </c>
      <c r="E54" s="23">
        <v>26</v>
      </c>
      <c r="F54" s="23">
        <v>24</v>
      </c>
      <c r="G54" s="23">
        <v>24</v>
      </c>
      <c r="H54" s="23">
        <v>1</v>
      </c>
      <c r="I54" s="22">
        <v>8.6666666666666661</v>
      </c>
      <c r="J54" s="22">
        <v>120</v>
      </c>
      <c r="K54" s="4">
        <v>120</v>
      </c>
      <c r="L54" s="445" t="str">
        <v>actual</v>
      </c>
      <c r="M54" s="436" t="str">
        <v>DNF</v>
      </c>
      <c r="N54" s="427" t="str">
        <v xml:space="preserve"> U. Wisc. Madison</v>
      </c>
      <c r="O54" s="435">
        <v>61</v>
      </c>
      <c r="P54" s="443">
        <v>45444</v>
      </c>
      <c r="Q54" s="429" t="str">
        <v>UWM - PTH</v>
      </c>
      <c r="R54" s="428">
        <v>45505</v>
      </c>
      <c r="S54" s="430" t="str">
        <v>Truck</v>
      </c>
      <c r="T54" s="431" t="str">
        <v>PTH - CHC</v>
      </c>
      <c r="U54" s="431" t="str">
        <v>-</v>
      </c>
      <c r="V54" s="433" t="str">
        <v>ComAir</v>
      </c>
      <c r="W54" s="433" t="str">
        <v>CHC-MCM</v>
      </c>
      <c r="X54" s="433" t="str">
        <v>-</v>
      </c>
      <c r="Y54" s="435" t="str">
        <v>USAP Air</v>
      </c>
      <c r="Z54" s="434">
        <v>45597</v>
      </c>
      <c r="AA54" s="427" t="str">
        <v>-</v>
      </c>
      <c r="AB54" s="435" t="str">
        <v>LC-130</v>
      </c>
      <c r="AC54" s="409">
        <v>45621</v>
      </c>
      <c r="AD54" s="409" t="str">
        <v>Yes</v>
      </c>
      <c r="AE54" s="409" t="str">
        <v>FY25 inter</v>
      </c>
      <c r="AF54" s="409" t="str">
        <v>FY25 intra</v>
      </c>
      <c r="AG54" s="409" t="str">
        <v>D. Williams</v>
      </c>
      <c r="AH54" s="409">
        <v>44483</v>
      </c>
      <c r="AI54" s="409" t="str">
        <v>D. Tosi</v>
      </c>
      <c r="AJ54" s="409">
        <v>44459</v>
      </c>
      <c r="AK54" s="409" t="str">
        <v>Used weights from last deployment season shipment data (could be combined)</v>
      </c>
      <c r="AL54" s="9" t="str">
        <v/>
      </c>
    </row>
    <row r="55" spans="1:40" s="9" customFormat="1" ht="33.950000000000003" hidden="1">
      <c r="A55" s="25">
        <v>1.5</v>
      </c>
      <c r="B55" s="48" t="str">
        <v>Installation</v>
      </c>
      <c r="C55" s="3" t="str">
        <v>Dust logging device</v>
      </c>
      <c r="D55" s="3" t="str">
        <v>Electronics parts - sensitive equipment - Do Not Freeze</v>
      </c>
      <c r="E55" s="23">
        <v>26</v>
      </c>
      <c r="F55" s="23">
        <v>23</v>
      </c>
      <c r="G55" s="23">
        <v>20</v>
      </c>
      <c r="H55" s="23">
        <v>1</v>
      </c>
      <c r="I55" s="22">
        <v>6.9212962962962967</v>
      </c>
      <c r="J55" s="22">
        <v>60</v>
      </c>
      <c r="K55" s="4">
        <v>60</v>
      </c>
      <c r="L55" s="445" t="str">
        <v>actual</v>
      </c>
      <c r="M55" s="436" t="str">
        <v>DNF</v>
      </c>
      <c r="N55" s="427" t="str">
        <v xml:space="preserve"> U. Wisc. Madison</v>
      </c>
      <c r="O55" s="435">
        <v>61</v>
      </c>
      <c r="P55" s="443">
        <v>45444</v>
      </c>
      <c r="Q55" s="429" t="str">
        <v>UWM - PTH</v>
      </c>
      <c r="R55" s="428">
        <v>45505</v>
      </c>
      <c r="S55" s="430" t="str">
        <v>Truck</v>
      </c>
      <c r="T55" s="431" t="str">
        <v>PTH - CHC</v>
      </c>
      <c r="U55" s="431" t="str">
        <v>-</v>
      </c>
      <c r="V55" s="433" t="str">
        <v>ComAir</v>
      </c>
      <c r="W55" s="433" t="str">
        <v>CHC-MCM</v>
      </c>
      <c r="X55" s="433" t="str">
        <v>-</v>
      </c>
      <c r="Y55" s="435" t="str">
        <v>USAP Air</v>
      </c>
      <c r="Z55" s="434">
        <v>45597</v>
      </c>
      <c r="AA55" s="427" t="str">
        <v>-</v>
      </c>
      <c r="AB55" s="435" t="str">
        <v>LC-130</v>
      </c>
      <c r="AC55" s="409">
        <v>45621</v>
      </c>
      <c r="AD55" s="409" t="str">
        <v>Yes</v>
      </c>
      <c r="AE55" s="409" t="str">
        <v>FY25 inter</v>
      </c>
      <c r="AF55" s="409" t="str">
        <v>FY25 intra</v>
      </c>
      <c r="AG55" s="409" t="str">
        <v>D. Williams</v>
      </c>
      <c r="AH55" s="409">
        <v>44483</v>
      </c>
      <c r="AI55" s="409" t="str">
        <v>D. Tosi</v>
      </c>
      <c r="AJ55" s="409">
        <v>44460</v>
      </c>
      <c r="AK55" s="409" t="str">
        <v>Used weights from last deployment season shipment data (could be combined)</v>
      </c>
      <c r="AL55" s="9" t="str">
        <v/>
      </c>
    </row>
    <row r="56" spans="1:40" s="9" customFormat="1" ht="33.950000000000003" hidden="1">
      <c r="A56" s="25">
        <v>1.5</v>
      </c>
      <c r="B56" s="48" t="str">
        <v>Installation</v>
      </c>
      <c r="C56" s="3" t="str">
        <v>Logging winch</v>
      </c>
      <c r="D56" s="3" t="str">
        <v xml:space="preserve">Winch to be used for Dust Logging </v>
      </c>
      <c r="E56" s="23">
        <v>86</v>
      </c>
      <c r="F56" s="23">
        <v>60</v>
      </c>
      <c r="G56" s="23">
        <v>68</v>
      </c>
      <c r="H56" s="23">
        <v>1</v>
      </c>
      <c r="I56" s="22">
        <v>203.05555555555554</v>
      </c>
      <c r="J56" s="22">
        <v>3500</v>
      </c>
      <c r="K56" s="4">
        <v>3500</v>
      </c>
      <c r="L56" s="445" t="str">
        <v>preliminary</v>
      </c>
      <c r="M56" s="436" t="str">
        <v/>
      </c>
      <c r="N56" s="427" t="str">
        <v xml:space="preserve"> U. Wisc. Madison</v>
      </c>
      <c r="O56" s="435">
        <v>61</v>
      </c>
      <c r="P56" s="443">
        <v>45444</v>
      </c>
      <c r="Q56" s="429" t="str">
        <v>UWM - PTH</v>
      </c>
      <c r="R56" s="428">
        <v>45505</v>
      </c>
      <c r="S56" s="430" t="str">
        <v>Truck</v>
      </c>
      <c r="T56" s="431" t="str">
        <v>PTH - CHC</v>
      </c>
      <c r="U56" s="431" t="str">
        <v>-</v>
      </c>
      <c r="V56" s="433" t="str">
        <v>ComAir</v>
      </c>
      <c r="W56" s="433" t="str">
        <v>CHC-MCM</v>
      </c>
      <c r="X56" s="433" t="str">
        <v>-</v>
      </c>
      <c r="Y56" s="435" t="str">
        <v>USAP Air</v>
      </c>
      <c r="Z56" s="434">
        <v>45597</v>
      </c>
      <c r="AA56" s="427" t="str">
        <v>-</v>
      </c>
      <c r="AB56" s="435" t="str">
        <v>LC-130</v>
      </c>
      <c r="AC56" s="409">
        <v>45621</v>
      </c>
      <c r="AD56" s="409" t="str">
        <v>Yes</v>
      </c>
      <c r="AE56" s="409" t="str">
        <v>FY25 inter</v>
      </c>
      <c r="AF56" s="409" t="str">
        <v>FY25 intra</v>
      </c>
      <c r="AG56" s="409" t="str">
        <v>D. Tosi</v>
      </c>
      <c r="AH56" s="409">
        <v>44477</v>
      </c>
      <c r="AI56" s="409" t="str">
        <v>I. McEwen</v>
      </c>
      <c r="AJ56" s="409">
        <v>44477</v>
      </c>
      <c r="AK56" s="409" t="str">
        <v>Used weights and cubes of IDP deep logging winch. Send back end of season</v>
      </c>
      <c r="AL56" s="9" t="str">
        <v/>
      </c>
    </row>
    <row r="57" spans="1:40" s="9" customFormat="1" ht="33.950000000000003" hidden="1">
      <c r="A57" s="25">
        <v>1.5</v>
      </c>
      <c r="B57" s="48" t="str">
        <v>Installation</v>
      </c>
      <c r="C57" s="3" t="str">
        <v>Logging winch control box</v>
      </c>
      <c r="D57" s="3" t="str">
        <v>Control Box for winch for Dust Logging  - sensitive equipment - Do Not Freeze</v>
      </c>
      <c r="E57" s="23">
        <v>48</v>
      </c>
      <c r="F57" s="23">
        <v>48</v>
      </c>
      <c r="G57" s="23">
        <v>36</v>
      </c>
      <c r="H57" s="23">
        <v>1</v>
      </c>
      <c r="I57" s="22">
        <v>48</v>
      </c>
      <c r="J57" s="22">
        <v>400</v>
      </c>
      <c r="K57" s="4">
        <v>400</v>
      </c>
      <c r="L57" s="445" t="str">
        <v>preliminary</v>
      </c>
      <c r="M57" s="436" t="str">
        <v>DNF</v>
      </c>
      <c r="N57" s="427" t="str">
        <v xml:space="preserve"> U. Wisc. Madison</v>
      </c>
      <c r="O57" s="435">
        <v>61</v>
      </c>
      <c r="P57" s="443">
        <v>45444</v>
      </c>
      <c r="Q57" s="429" t="str">
        <v>UWM - PTH</v>
      </c>
      <c r="R57" s="428">
        <v>45505</v>
      </c>
      <c r="S57" s="430" t="str">
        <v>Truck</v>
      </c>
      <c r="T57" s="431" t="str">
        <v>PTH - CHC</v>
      </c>
      <c r="U57" s="431" t="str">
        <v>-</v>
      </c>
      <c r="V57" s="433" t="str">
        <v>ComAir</v>
      </c>
      <c r="W57" s="433" t="str">
        <v>CHC-MCM</v>
      </c>
      <c r="X57" s="433" t="str">
        <v>-</v>
      </c>
      <c r="Y57" s="435" t="str">
        <v>USAP Air</v>
      </c>
      <c r="Z57" s="434">
        <v>45597</v>
      </c>
      <c r="AA57" s="427" t="str">
        <v>-</v>
      </c>
      <c r="AB57" s="435" t="str">
        <v>LC-130</v>
      </c>
      <c r="AC57" s="409">
        <v>45621</v>
      </c>
      <c r="AD57" s="409" t="str">
        <v>Yes</v>
      </c>
      <c r="AE57" s="409" t="str">
        <v>FY25 inter</v>
      </c>
      <c r="AF57" s="409" t="str">
        <v>FY25 intra</v>
      </c>
      <c r="AG57" s="409" t="str">
        <v>D. Tosi</v>
      </c>
      <c r="AH57" s="409">
        <v>44477</v>
      </c>
      <c r="AI57" s="409" t="str">
        <v>I. McEwen</v>
      </c>
      <c r="AJ57" s="409">
        <v>44477</v>
      </c>
      <c r="AK57" s="409" t="str">
        <v>Used weights and cubes of IDP deep logging winch. Send back end of season</v>
      </c>
      <c r="AL57" s="9" t="str">
        <v/>
      </c>
    </row>
    <row r="58" spans="1:40" s="91" customFormat="1" ht="29.85" hidden="1" customHeight="1" thickBot="1">
      <c r="A58" s="53" t="str">
        <v/>
      </c>
      <c r="B58" s="53" t="str">
        <v/>
      </c>
      <c r="C58" s="54" t="str">
        <v>U. Wisconsin totals:</v>
      </c>
      <c r="D58" s="55" t="str">
        <v/>
      </c>
      <c r="E58" s="44" t="str">
        <v/>
      </c>
      <c r="F58" s="44" t="str">
        <v/>
      </c>
      <c r="G58" s="44" t="str">
        <v>TEU=&gt;</v>
      </c>
      <c r="H58" s="56">
        <v>12.127729694308279</v>
      </c>
      <c r="I58" s="57">
        <v>11545.59866898148</v>
      </c>
      <c r="J58" s="57" t="str">
        <v/>
      </c>
      <c r="K58" s="58">
        <v>148267</v>
      </c>
      <c r="L58" s="58" t="str">
        <v/>
      </c>
      <c r="M58" s="58" t="str">
        <v/>
      </c>
      <c r="N58" s="58" t="str">
        <v/>
      </c>
      <c r="O58" s="77" t="str">
        <v/>
      </c>
      <c r="P58" s="59" t="str">
        <v/>
      </c>
      <c r="Q58" s="77" t="str">
        <v/>
      </c>
      <c r="R58" s="60" t="str">
        <v/>
      </c>
      <c r="S58" s="59" t="str">
        <v/>
      </c>
      <c r="T58" s="60" t="str">
        <v/>
      </c>
      <c r="U58" s="60" t="str">
        <v/>
      </c>
      <c r="V58" s="59" t="str">
        <v/>
      </c>
      <c r="W58" s="60" t="str">
        <v/>
      </c>
      <c r="X58" s="60" t="str">
        <v/>
      </c>
      <c r="Y58" s="77" t="str">
        <v/>
      </c>
      <c r="Z58" s="60" t="str">
        <v/>
      </c>
      <c r="AA58" s="60" t="str">
        <v/>
      </c>
      <c r="AB58" s="77" t="str">
        <v/>
      </c>
      <c r="AC58" s="59" t="str">
        <v/>
      </c>
      <c r="AD58" s="77" t="str">
        <v/>
      </c>
      <c r="AE58" s="59" t="str">
        <v/>
      </c>
      <c r="AF58" s="59" t="str">
        <v/>
      </c>
      <c r="AG58" s="59" t="str">
        <v/>
      </c>
      <c r="AH58" s="59" t="str">
        <v/>
      </c>
      <c r="AI58" s="59" t="str">
        <v/>
      </c>
      <c r="AJ58" s="59" t="str">
        <v/>
      </c>
      <c r="AK58" s="59" t="str">
        <v/>
      </c>
      <c r="AL58" s="11" t="str">
        <v/>
      </c>
      <c r="AM58" s="11"/>
      <c r="AN58" s="11"/>
    </row>
    <row r="59" spans="1:40" s="9" customFormat="1" ht="30" hidden="1" customHeight="1" thickTop="1">
      <c r="A59" s="35">
        <v>1.4</v>
      </c>
      <c r="B59" s="51" t="str">
        <v>Installation</v>
      </c>
      <c r="C59" s="20" t="str">
        <v>Surface Junction Boxes</v>
      </c>
      <c r="D59" s="1" t="str">
        <v xml:space="preserve">Surface Junction Boxes  can overwinter in McM if shipped earlier. 7 junction boxes </v>
      </c>
      <c r="E59" s="36">
        <v>66</v>
      </c>
      <c r="F59" s="36">
        <v>30</v>
      </c>
      <c r="G59" s="36">
        <v>14</v>
      </c>
      <c r="H59" s="23">
        <v>7</v>
      </c>
      <c r="I59" s="4">
        <v>112.29166666666667</v>
      </c>
      <c r="J59" s="4">
        <v>200</v>
      </c>
      <c r="K59" s="4">
        <v>1400</v>
      </c>
      <c r="L59" s="36" t="str">
        <v>preliminary</v>
      </c>
      <c r="M59" s="8" t="str">
        <v/>
      </c>
      <c r="N59" s="427" t="str">
        <v>MSU</v>
      </c>
      <c r="O59" s="435">
        <v>14</v>
      </c>
      <c r="P59" s="428">
        <v>44866</v>
      </c>
      <c r="Q59" s="429" t="str">
        <v>MSU - PTH</v>
      </c>
      <c r="R59" s="428">
        <v>44880</v>
      </c>
      <c r="S59" s="430" t="str">
        <v>Truck</v>
      </c>
      <c r="T59" s="431" t="str">
        <v>PTH - MCM</v>
      </c>
      <c r="U59" s="431" t="str">
        <v>-</v>
      </c>
      <c r="V59" s="433" t="str">
        <v>USAP Vessel</v>
      </c>
      <c r="W59" s="433" t="str">
        <v>USAP Vessel</v>
      </c>
      <c r="X59" s="433" t="str">
        <v>-</v>
      </c>
      <c r="Y59" s="426" t="str">
        <v>-</v>
      </c>
      <c r="Z59" s="434">
        <v>44963</v>
      </c>
      <c r="AA59" s="409" t="str">
        <v>-</v>
      </c>
      <c r="AB59" s="435" t="str">
        <v>LC-130/SPoT</v>
      </c>
      <c r="AC59" s="409">
        <v>45270</v>
      </c>
      <c r="AD59" s="409" t="str">
        <v>Yes</v>
      </c>
      <c r="AE59" s="409" t="str">
        <v>FY23 inter</v>
      </c>
      <c r="AF59" s="409" t="str">
        <v>FY24 intra</v>
      </c>
      <c r="AG59" s="409" t="str">
        <v>T. DeYoung</v>
      </c>
      <c r="AH59" s="409">
        <v>44482</v>
      </c>
      <c r="AI59" s="409" t="str">
        <v>D. Tosi</v>
      </c>
      <c r="AJ59" s="409">
        <v>44480</v>
      </c>
      <c r="AK59" s="409" t="str">
        <v>Each is 66" x 30" x 14", each is 112 lbs. Assume Folding crate. Simple passive objects, work plan can probably be shifted to increase float.</v>
      </c>
      <c r="AL59" s="9" t="str">
        <v/>
      </c>
    </row>
    <row r="60" spans="1:40" s="9" customFormat="1" ht="32.25" hidden="1" customHeight="1">
      <c r="A60" s="35">
        <v>1.4</v>
      </c>
      <c r="B60" s="51" t="str">
        <v>Installation</v>
      </c>
      <c r="C60" s="20" t="str">
        <v>Surface Cable Assemblies</v>
      </c>
      <c r="D60" s="1" t="str">
        <v xml:space="preserve">Palletized wooden cable drums (Qty: 7). Can overwinter in MCM. </v>
      </c>
      <c r="E60" s="36">
        <v>48</v>
      </c>
      <c r="F60" s="36">
        <v>65</v>
      </c>
      <c r="G60" s="36">
        <v>71</v>
      </c>
      <c r="H60" s="23">
        <v>7</v>
      </c>
      <c r="I60" s="4">
        <v>897.3611111111112</v>
      </c>
      <c r="J60" s="4">
        <v>1335.7142857142858</v>
      </c>
      <c r="K60" s="4">
        <v>9350</v>
      </c>
      <c r="L60" s="36" t="str">
        <v>actual</v>
      </c>
      <c r="M60" s="112" t="str">
        <v/>
      </c>
      <c r="N60" s="427" t="str">
        <v>MSU</v>
      </c>
      <c r="O60" s="435">
        <v>366</v>
      </c>
      <c r="P60" s="428">
        <v>44530</v>
      </c>
      <c r="Q60" s="429" t="str">
        <v>MSU - PTH</v>
      </c>
      <c r="R60" s="428">
        <v>44896</v>
      </c>
      <c r="S60" s="430" t="str">
        <v>Truck</v>
      </c>
      <c r="T60" s="431" t="str">
        <v>PTH - MCM</v>
      </c>
      <c r="U60" s="431" t="str">
        <v>-</v>
      </c>
      <c r="V60" s="433" t="str">
        <v>USAP Vessel</v>
      </c>
      <c r="W60" s="433" t="str">
        <v>USAP Vessel</v>
      </c>
      <c r="X60" s="433" t="str">
        <v>-</v>
      </c>
      <c r="Y60" s="426" t="str">
        <v>-</v>
      </c>
      <c r="Z60" s="434">
        <v>44963</v>
      </c>
      <c r="AA60" s="409" t="str">
        <v>-</v>
      </c>
      <c r="AB60" s="435" t="str">
        <v>LC-130</v>
      </c>
      <c r="AC60" s="409">
        <v>45250</v>
      </c>
      <c r="AD60" s="409" t="str">
        <v>Yes</v>
      </c>
      <c r="AE60" s="409" t="str">
        <v>FY23 inter</v>
      </c>
      <c r="AF60" s="409" t="str">
        <v>FY24 intra</v>
      </c>
      <c r="AG60" s="409" t="str">
        <v>T. DeYoung</v>
      </c>
      <c r="AH60" s="409">
        <v>44482</v>
      </c>
      <c r="AI60" s="409" t="str">
        <v>D. Tosi</v>
      </c>
      <c r="AJ60" s="409">
        <v>44480</v>
      </c>
      <c r="AK60" s="409" t="str">
        <v/>
      </c>
      <c r="AL60" s="9" t="str">
        <v/>
      </c>
    </row>
    <row r="61" spans="1:40" ht="68.099999999999994">
      <c r="A61" s="147">
        <v>1.4</v>
      </c>
      <c r="B61" s="148" t="str">
        <v>Installation</v>
      </c>
      <c r="C61" s="150" t="str">
        <v>Breakout cables for strings 87-88</v>
      </c>
      <c r="D61" s="150" t="str">
        <v>Standard vessel shipping.  2 wooden crates containing spooled breakout cable assemblies - 96 cf / 1,000 lbs each - Do Not Deep Freeze</v>
      </c>
      <c r="E61" s="151">
        <v>72</v>
      </c>
      <c r="F61" s="151">
        <v>48</v>
      </c>
      <c r="G61" s="151">
        <v>48</v>
      </c>
      <c r="H61" s="152">
        <v>2</v>
      </c>
      <c r="I61" s="154">
        <v>192</v>
      </c>
      <c r="J61" s="154">
        <v>1000</v>
      </c>
      <c r="K61" s="154">
        <v>2000</v>
      </c>
      <c r="L61" s="151" t="str">
        <v>estimated</v>
      </c>
      <c r="M61" s="178" t="str">
        <v>DNDF[-40C](*)</v>
      </c>
      <c r="N61" s="156" t="str">
        <v>MSU</v>
      </c>
      <c r="O61" s="407">
        <v>46</v>
      </c>
      <c r="P61" s="158">
        <v>44985</v>
      </c>
      <c r="Q61" s="158" t="str">
        <v>MSU - PTH</v>
      </c>
      <c r="R61" s="158">
        <v>45031</v>
      </c>
      <c r="S61" s="160" t="str">
        <v>Truck</v>
      </c>
      <c r="T61" s="160" t="str">
        <v>PTH - MCM</v>
      </c>
      <c r="U61" s="160" t="str">
        <v>-</v>
      </c>
      <c r="V61" s="162" t="str">
        <v>USAP Vessel</v>
      </c>
      <c r="W61" s="162" t="str">
        <v>USAP Vessel</v>
      </c>
      <c r="X61" s="162" t="str">
        <v>-</v>
      </c>
      <c r="Y61" s="169" t="str">
        <v>-</v>
      </c>
      <c r="Z61" s="169">
        <v>45328</v>
      </c>
      <c r="AA61" s="156" t="str">
        <v>-</v>
      </c>
      <c r="AB61" s="157" t="str">
        <v>LC-130</v>
      </c>
      <c r="AC61" s="157">
        <v>45337</v>
      </c>
      <c r="AD61" s="163" t="str">
        <v>Yes</v>
      </c>
      <c r="AE61" s="163" t="str">
        <v>FY24 inter</v>
      </c>
      <c r="AF61" s="163" t="str">
        <v>FY24 intra</v>
      </c>
      <c r="AG61" s="157" t="str">
        <v>T. DeYoung</v>
      </c>
      <c r="AH61" s="157">
        <v>44459</v>
      </c>
      <c r="AI61" s="157" t="str">
        <v>D. Tosi</v>
      </c>
      <c r="AJ61" s="157">
        <v>44480</v>
      </c>
      <c r="AK61" s="163" t="e">
        <v>#VALUE!</v>
      </c>
      <c r="AL61" s="146" t="str">
        <v/>
      </c>
    </row>
    <row r="62" spans="1:40" ht="32.25" customHeight="1">
      <c r="A62" s="147">
        <v>1.4</v>
      </c>
      <c r="B62" s="179" t="str">
        <v>Installation</v>
      </c>
      <c r="C62" s="150" t="str">
        <v>Breakout cables for strings 89-93</v>
      </c>
      <c r="D62" s="150" t="str">
        <v>Stored in McMurdo FY24. 5 wooden crates containing spooled breakout cable assemblies - 96 cf/ 1,000 lbs each (preliminary) -  Do Not Deep Freeze</v>
      </c>
      <c r="E62" s="151">
        <v>72</v>
      </c>
      <c r="F62" s="151">
        <v>48</v>
      </c>
      <c r="G62" s="151">
        <v>48</v>
      </c>
      <c r="H62" s="152">
        <v>5</v>
      </c>
      <c r="I62" s="154">
        <v>480</v>
      </c>
      <c r="J62" s="154">
        <v>1000</v>
      </c>
      <c r="K62" s="154">
        <v>5000</v>
      </c>
      <c r="L62" s="151" t="str">
        <v>estimated</v>
      </c>
      <c r="M62" s="168" t="str">
        <v>DNDF[-40C](*)</v>
      </c>
      <c r="N62" s="156" t="str">
        <v>MSU</v>
      </c>
      <c r="O62" s="407">
        <v>24</v>
      </c>
      <c r="P62" s="158">
        <v>45068</v>
      </c>
      <c r="Q62" s="158" t="str">
        <v>MSU - PTH</v>
      </c>
      <c r="R62" s="158">
        <v>45092</v>
      </c>
      <c r="S62" s="160" t="str">
        <v>Truck</v>
      </c>
      <c r="T62" s="160" t="str">
        <v>PTH - MCM</v>
      </c>
      <c r="U62" s="160" t="str">
        <v>-</v>
      </c>
      <c r="V62" s="162" t="str">
        <v>USAP Vessel</v>
      </c>
      <c r="W62" s="162" t="str">
        <v>USAP Vessel</v>
      </c>
      <c r="X62" s="162" t="str">
        <v>-</v>
      </c>
      <c r="Y62" s="169" t="str">
        <v>-</v>
      </c>
      <c r="Z62" s="169">
        <v>45328</v>
      </c>
      <c r="AA62" s="156" t="str">
        <v>-</v>
      </c>
      <c r="AB62" s="157" t="str">
        <v>LC-130/SPoT</v>
      </c>
      <c r="AC62" s="157">
        <v>45621</v>
      </c>
      <c r="AD62" s="163" t="str">
        <v>Yes</v>
      </c>
      <c r="AE62" s="163" t="str">
        <v>FY24 inter</v>
      </c>
      <c r="AF62" s="163" t="str">
        <v>FY25 intra</v>
      </c>
      <c r="AG62" s="157" t="str">
        <v>T. DeYoung</v>
      </c>
      <c r="AH62" s="157">
        <v>44459</v>
      </c>
      <c r="AI62" s="157" t="str">
        <v>D. Tosi</v>
      </c>
      <c r="AJ62" s="157">
        <v>44459</v>
      </c>
      <c r="AK62" s="163" t="str">
        <v xml:space="preserve">Float in PTH due to storage limitation in MSU.
(*) storage in McMurdo pending low temperature test  </v>
      </c>
      <c r="AL62" s="146" t="str">
        <v/>
      </c>
    </row>
    <row r="63" spans="1:40" ht="32.25" customHeight="1">
      <c r="A63" s="147">
        <v>1.4</v>
      </c>
      <c r="B63" s="148" t="str">
        <v>Installation</v>
      </c>
      <c r="C63" s="150" t="str">
        <v>Main (downhole) load members 87-93</v>
      </c>
      <c r="D63" s="150" t="str">
        <v>May be possible to store in McMurdo until drill season - Do Not Deep Freeze</v>
      </c>
      <c r="E63" s="151">
        <v>47</v>
      </c>
      <c r="F63" s="151">
        <v>47</v>
      </c>
      <c r="G63" s="151">
        <v>39</v>
      </c>
      <c r="H63" s="152">
        <v>7</v>
      </c>
      <c r="I63" s="154">
        <v>348.99131944444446</v>
      </c>
      <c r="J63" s="154">
        <v>766</v>
      </c>
      <c r="K63" s="154">
        <v>5362</v>
      </c>
      <c r="L63" s="151" t="str">
        <v>preliminary</v>
      </c>
      <c r="M63" s="178" t="str">
        <v>DNDF[-40C](*)</v>
      </c>
      <c r="N63" s="156" t="str">
        <v>MSU</v>
      </c>
      <c r="O63" s="407">
        <v>14</v>
      </c>
      <c r="P63" s="158">
        <v>45017</v>
      </c>
      <c r="Q63" s="158" t="str">
        <v>MSU - PTH</v>
      </c>
      <c r="R63" s="158">
        <v>45031</v>
      </c>
      <c r="S63" s="160" t="str">
        <v>Truck</v>
      </c>
      <c r="T63" s="160" t="str">
        <v>PTH - MCM</v>
      </c>
      <c r="U63" s="160" t="str">
        <v>-</v>
      </c>
      <c r="V63" s="162" t="str">
        <v>USAP Vessel</v>
      </c>
      <c r="W63" s="162" t="str">
        <v>USAP Vessel</v>
      </c>
      <c r="X63" s="162" t="str">
        <v>-</v>
      </c>
      <c r="Y63" s="169" t="str">
        <v>-</v>
      </c>
      <c r="Z63" s="169">
        <v>45328</v>
      </c>
      <c r="AA63" s="163" t="str">
        <v>-</v>
      </c>
      <c r="AB63" s="157" t="str">
        <v>LC-130/SPoT</v>
      </c>
      <c r="AC63" s="157">
        <v>45627</v>
      </c>
      <c r="AD63" s="163" t="str">
        <v>Yes</v>
      </c>
      <c r="AE63" s="163" t="str">
        <v>FY24 inter</v>
      </c>
      <c r="AF63" s="163" t="str">
        <v>FY25 intra</v>
      </c>
      <c r="AG63" s="157" t="str">
        <v>T. DeYoung</v>
      </c>
      <c r="AH63" s="157">
        <v>44459</v>
      </c>
      <c r="AI63" s="157" t="str">
        <v>D. Tosi</v>
      </c>
      <c r="AJ63" s="157">
        <v>44480</v>
      </c>
      <c r="AK63" s="163" t="str">
        <v>Shipping date synched with main (downhole) cables due to storage limitation in MSU. Float in PTH.</v>
      </c>
      <c r="AL63" s="146" t="str">
        <v/>
      </c>
    </row>
    <row r="64" spans="1:40" ht="40.5" customHeight="1">
      <c r="A64" s="147">
        <v>1.4</v>
      </c>
      <c r="B64" s="148" t="str">
        <v>Installation</v>
      </c>
      <c r="C64" s="150" t="str">
        <v>Main (downhole) cables 87-93</v>
      </c>
      <c r="D64" s="150" t="str">
        <v>May be possible to store in McMurdo until drill season - Do Not Deep Freeze</v>
      </c>
      <c r="E64" s="151">
        <v>96</v>
      </c>
      <c r="F64" s="151">
        <v>96</v>
      </c>
      <c r="G64" s="151">
        <v>96</v>
      </c>
      <c r="H64" s="152">
        <v>7</v>
      </c>
      <c r="I64" s="154">
        <v>3584</v>
      </c>
      <c r="J64" s="154">
        <v>15000</v>
      </c>
      <c r="K64" s="154">
        <v>105000</v>
      </c>
      <c r="L64" s="151" t="str">
        <v>preliminary</v>
      </c>
      <c r="M64" s="178" t="str">
        <v>DNDF[-40C](*)</v>
      </c>
      <c r="N64" s="156" t="str">
        <v>MSU</v>
      </c>
      <c r="O64" s="407">
        <v>14</v>
      </c>
      <c r="P64" s="158">
        <v>45017</v>
      </c>
      <c r="Q64" s="158" t="str">
        <v>MSU - PTH</v>
      </c>
      <c r="R64" s="158">
        <v>45031</v>
      </c>
      <c r="S64" s="160" t="str">
        <v>Truck</v>
      </c>
      <c r="T64" s="160" t="str">
        <v>PTH - MCM</v>
      </c>
      <c r="U64" s="160" t="str">
        <v>-</v>
      </c>
      <c r="V64" s="162" t="str">
        <v>USAP Vessel</v>
      </c>
      <c r="W64" s="162" t="str">
        <v>USAP Vessel</v>
      </c>
      <c r="X64" s="162" t="str">
        <v>-</v>
      </c>
      <c r="Y64" s="169" t="str">
        <v>-</v>
      </c>
      <c r="Z64" s="169">
        <v>45328</v>
      </c>
      <c r="AA64" s="163" t="str">
        <v>-</v>
      </c>
      <c r="AB64" s="157" t="str">
        <v>LC-130/SPoT</v>
      </c>
      <c r="AC64" s="157">
        <v>45627</v>
      </c>
      <c r="AD64" s="163" t="str">
        <v>Yes</v>
      </c>
      <c r="AE64" s="163" t="str">
        <v>FY24 inter</v>
      </c>
      <c r="AF64" s="163" t="str">
        <v>FY25 intra</v>
      </c>
      <c r="AG64" s="157" t="str">
        <v>T. DeYoung</v>
      </c>
      <c r="AH64" s="157">
        <v>44459</v>
      </c>
      <c r="AI64" s="157" t="str">
        <v>D. Tosi</v>
      </c>
      <c r="AJ64" s="157">
        <v>44480</v>
      </c>
      <c r="AK64" s="163" t="str">
        <v>Shipping date chosen to be 2 weeks after scheduled ready to ship date because of storage limitations at MSU. additional 7 months of float at Port Hueneme assuming USAP vessel departure.  (*) storage in McMurdo pending low temperature test.</v>
      </c>
      <c r="AL64" s="146" t="str">
        <v/>
      </c>
    </row>
    <row r="65" spans="1:40" s="9" customFormat="1" ht="72" hidden="1" customHeight="1">
      <c r="A65" s="25">
        <v>1.3</v>
      </c>
      <c r="B65" s="48" t="str">
        <v>Installation</v>
      </c>
      <c r="C65" s="3" t="str">
        <v>String Sensors 89-93</v>
      </c>
      <c r="D65" s="3" t="str">
        <v>Optical Sensors for 5 strings from MSU (mDOMs) - Do Not Deep Freeze</v>
      </c>
      <c r="E65" s="23">
        <v>40</v>
      </c>
      <c r="F65" s="23">
        <v>48</v>
      </c>
      <c r="G65" s="445">
        <v>46</v>
      </c>
      <c r="H65" s="23">
        <v>25</v>
      </c>
      <c r="I65" s="4">
        <v>1277.7777777777778</v>
      </c>
      <c r="J65" s="4">
        <v>573</v>
      </c>
      <c r="K65" s="4">
        <v>14325</v>
      </c>
      <c r="L65" s="445" t="str">
        <v>actual(**)</v>
      </c>
      <c r="M65" s="6" t="str">
        <v>DNDF [-40C]</v>
      </c>
      <c r="N65" s="10" t="str">
        <v>MSU</v>
      </c>
      <c r="O65" s="435">
        <v>366</v>
      </c>
      <c r="P65" s="428">
        <v>45139</v>
      </c>
      <c r="Q65" s="429" t="str">
        <v>MSU - PTH</v>
      </c>
      <c r="R65" s="428">
        <v>45505</v>
      </c>
      <c r="S65" s="431" t="str">
        <v>Truck</v>
      </c>
      <c r="T65" s="431" t="str">
        <v>PTH - CHC</v>
      </c>
      <c r="U65" s="431" t="str">
        <v>-</v>
      </c>
      <c r="V65" s="433" t="str">
        <v>ComSur</v>
      </c>
      <c r="W65" s="433" t="str">
        <v>CHC - MCM</v>
      </c>
      <c r="X65" s="433" t="str">
        <v>-</v>
      </c>
      <c r="Y65" s="435" t="str">
        <v>USAP Air</v>
      </c>
      <c r="Z65" s="434">
        <v>45597</v>
      </c>
      <c r="AA65" s="427" t="str">
        <v>-</v>
      </c>
      <c r="AB65" s="435" t="str">
        <v>LC-130</v>
      </c>
      <c r="AC65" s="409">
        <v>45621</v>
      </c>
      <c r="AD65" s="409" t="str">
        <v>Yes</v>
      </c>
      <c r="AE65" s="409" t="str">
        <v>FY25 inter</v>
      </c>
      <c r="AF65" s="409" t="str">
        <v>FY25 intra</v>
      </c>
      <c r="AG65" s="409" t="str">
        <v>T. Karg</v>
      </c>
      <c r="AH65" s="409">
        <v>44459</v>
      </c>
      <c r="AI65" s="409" t="str">
        <v>D. Tosi</v>
      </c>
      <c r="AJ65" s="409">
        <v>44461</v>
      </c>
      <c r="AK65" s="409" t="str">
        <v>mDOM weight is 28 kg/boxed + 35kg pallet, assume 8 mDOMs/pallet (189 to be deployed + 11 spares)(*)Assumed to be shipped in 2x20' HC  (5115 lbs, 238inx96inx114in) or a 40 ft HC, purchased by MSU or loaned in PTH (container weight not included)</v>
      </c>
      <c r="AL65" s="9" t="str">
        <v/>
      </c>
    </row>
    <row r="66" spans="1:40" s="9" customFormat="1" ht="51" hidden="1">
      <c r="A66" s="25">
        <v>1.3</v>
      </c>
      <c r="B66" s="48" t="str">
        <v>Installation</v>
      </c>
      <c r="C66" s="3" t="str">
        <v>String Sensors 89-93</v>
      </c>
      <c r="D66" s="3" t="str">
        <v>Optical Sensors for 5 strings from MSU (mDOMs) containers (TBD) - Do Not Deep Freeze</v>
      </c>
      <c r="E66" s="23">
        <v>238</v>
      </c>
      <c r="F66" s="23">
        <v>96</v>
      </c>
      <c r="G66" s="445">
        <v>114</v>
      </c>
      <c r="H66" s="23">
        <v>0</v>
      </c>
      <c r="I66" s="4">
        <v>0</v>
      </c>
      <c r="J66" s="4">
        <v>5115</v>
      </c>
      <c r="K66" s="4">
        <v>0</v>
      </c>
      <c r="L66" s="445" t="str">
        <v>actual(**)</v>
      </c>
      <c r="M66" s="6" t="str">
        <v>DNDF [-40C]</v>
      </c>
      <c r="N66" s="10" t="str">
        <v>MSU</v>
      </c>
      <c r="O66" s="435">
        <v>366</v>
      </c>
      <c r="P66" s="428">
        <v>45139</v>
      </c>
      <c r="Q66" s="429" t="str">
        <v>MSU - PTH</v>
      </c>
      <c r="R66" s="428">
        <v>45505</v>
      </c>
      <c r="S66" s="431" t="str">
        <v>Truck</v>
      </c>
      <c r="T66" s="431" t="str">
        <v>PTH - CHC</v>
      </c>
      <c r="U66" s="431" t="str">
        <v>-</v>
      </c>
      <c r="V66" s="433" t="str">
        <v>ComSur</v>
      </c>
      <c r="W66" s="433" t="str">
        <v>CHC - MCM</v>
      </c>
      <c r="X66" s="433" t="str">
        <v>-</v>
      </c>
      <c r="Y66" s="435" t="str">
        <v>USAP Air</v>
      </c>
      <c r="Z66" s="434">
        <v>45597</v>
      </c>
      <c r="AA66" s="427" t="str">
        <v>-</v>
      </c>
      <c r="AB66" s="435" t="str">
        <v>LC-130</v>
      </c>
      <c r="AC66" s="409">
        <v>45621</v>
      </c>
      <c r="AD66" s="409" t="str">
        <v>Yes</v>
      </c>
      <c r="AE66" s="409" t="str">
        <v>FY25 inter</v>
      </c>
      <c r="AF66" s="409" t="str">
        <v>FY25 intra</v>
      </c>
      <c r="AG66" s="409" t="str">
        <v>T. Karg</v>
      </c>
      <c r="AH66" s="409">
        <v>44459</v>
      </c>
      <c r="AI66" s="409" t="str">
        <v>D. Tosi</v>
      </c>
      <c r="AJ66" s="409">
        <v>44461</v>
      </c>
      <c r="AK66" s="409" t="str">
        <v>Assume 2x20HC containers for transport on COMSUR (TBC). Pallets could be loaded to 53 ft truck and loaded into a loaned container in PTH but this would increase touch points (and risk)</v>
      </c>
      <c r="AL66" s="9" t="str">
        <v/>
      </c>
    </row>
    <row r="67" spans="1:40" s="91" customFormat="1" ht="21" hidden="1" customHeight="1" thickBot="1">
      <c r="A67" s="53" t="str">
        <v/>
      </c>
      <c r="B67" s="53" t="str">
        <v/>
      </c>
      <c r="C67" s="54" t="str">
        <v>MSU Totals:</v>
      </c>
      <c r="D67" s="55" t="str">
        <v/>
      </c>
      <c r="E67" s="44" t="str">
        <v/>
      </c>
      <c r="F67" s="44" t="str">
        <v/>
      </c>
      <c r="G67" s="44" t="str">
        <v>TEU=&gt;</v>
      </c>
      <c r="H67" s="56">
        <v>7.239938944327732</v>
      </c>
      <c r="I67" s="57">
        <v>6892.421875</v>
      </c>
      <c r="J67" s="57" t="str">
        <v/>
      </c>
      <c r="K67" s="58">
        <v>142437</v>
      </c>
      <c r="L67" s="58" t="str">
        <v/>
      </c>
      <c r="M67" s="58" t="str">
        <v/>
      </c>
      <c r="N67" s="58" t="str">
        <v/>
      </c>
      <c r="O67" s="77" t="str">
        <v/>
      </c>
      <c r="P67" s="59" t="str">
        <v/>
      </c>
      <c r="Q67" s="77" t="str">
        <v/>
      </c>
      <c r="R67" s="60" t="str">
        <v/>
      </c>
      <c r="S67" s="59" t="str">
        <v/>
      </c>
      <c r="T67" s="60" t="str">
        <v/>
      </c>
      <c r="U67" s="60" t="str">
        <v/>
      </c>
      <c r="V67" s="59" t="str">
        <v/>
      </c>
      <c r="W67" s="60" t="str">
        <v/>
      </c>
      <c r="X67" s="60" t="str">
        <v/>
      </c>
      <c r="Y67" s="77" t="str">
        <v/>
      </c>
      <c r="Z67" s="60" t="str">
        <v/>
      </c>
      <c r="AA67" s="60" t="str">
        <v/>
      </c>
      <c r="AB67" s="77" t="str">
        <v/>
      </c>
      <c r="AC67" s="59" t="str">
        <v/>
      </c>
      <c r="AD67" s="77" t="str">
        <v/>
      </c>
      <c r="AE67" s="59" t="str">
        <v/>
      </c>
      <c r="AF67" s="59" t="str">
        <v/>
      </c>
      <c r="AG67" s="59" t="str">
        <v/>
      </c>
      <c r="AH67" s="59" t="str">
        <v/>
      </c>
      <c r="AI67" s="59" t="str">
        <v/>
      </c>
      <c r="AJ67" s="59" t="str">
        <v/>
      </c>
      <c r="AK67" s="59" t="str">
        <v/>
      </c>
      <c r="AL67" s="11" t="str">
        <v/>
      </c>
      <c r="AM67" s="11"/>
      <c r="AN67" s="11"/>
    </row>
    <row r="68" spans="1:40" s="9" customFormat="1" ht="21.6" hidden="1" customHeight="1" thickTop="1">
      <c r="A68" s="25">
        <v>1.3</v>
      </c>
      <c r="B68" s="48" t="str">
        <v>Installation</v>
      </c>
      <c r="C68" s="3" t="str">
        <v>DM-Ice</v>
      </c>
      <c r="D68" s="3" t="str">
        <v>DM-ice (two modules for string 89 and 90) - Do Not Deep Freeze</v>
      </c>
      <c r="E68" s="23">
        <v>48</v>
      </c>
      <c r="F68" s="23">
        <v>48</v>
      </c>
      <c r="G68" s="23">
        <v>48</v>
      </c>
      <c r="H68" s="23">
        <v>1</v>
      </c>
      <c r="I68" s="4">
        <v>64</v>
      </c>
      <c r="J68" s="4">
        <v>1500</v>
      </c>
      <c r="K68" s="4">
        <v>1500</v>
      </c>
      <c r="L68" s="445" t="str">
        <v>estimated</v>
      </c>
      <c r="M68" s="6" t="str">
        <v>DNDF [-40C]</v>
      </c>
      <c r="N68" s="10" t="str">
        <v>Yale</v>
      </c>
      <c r="O68" s="435">
        <v>61</v>
      </c>
      <c r="P68" s="428">
        <v>45444</v>
      </c>
      <c r="Q68" s="429" t="str">
        <v>Yale - PTH</v>
      </c>
      <c r="R68" s="428">
        <v>45505</v>
      </c>
      <c r="S68" s="431" t="str">
        <v>Truck</v>
      </c>
      <c r="T68" s="431" t="str">
        <v>PTH - CHC</v>
      </c>
      <c r="U68" s="431" t="str">
        <v>-</v>
      </c>
      <c r="V68" s="433" t="str">
        <v>ComSur</v>
      </c>
      <c r="W68" s="433" t="str">
        <v>CHC - MCM</v>
      </c>
      <c r="X68" s="433" t="str">
        <v>-</v>
      </c>
      <c r="Y68" s="435" t="str">
        <v>USAP Air</v>
      </c>
      <c r="Z68" s="434">
        <v>45597</v>
      </c>
      <c r="AA68" s="427" t="str">
        <v>-</v>
      </c>
      <c r="AB68" s="435" t="str">
        <v>LC-130</v>
      </c>
      <c r="AC68" s="409">
        <v>45621</v>
      </c>
      <c r="AD68" s="409" t="str">
        <v>Yes</v>
      </c>
      <c r="AE68" s="409" t="str">
        <v>FY25 inter</v>
      </c>
      <c r="AF68" s="409" t="str">
        <v>FY25 intra</v>
      </c>
      <c r="AG68" s="409" t="str">
        <v>M. Kauer</v>
      </c>
      <c r="AH68" s="409">
        <v>44459</v>
      </c>
      <c r="AI68" s="409" t="str">
        <v>D. Tosi</v>
      </c>
      <c r="AJ68" s="409">
        <v>44459</v>
      </c>
      <c r="AK68" s="409" t="str">
        <v/>
      </c>
      <c r="AL68" s="9" t="str">
        <v/>
      </c>
    </row>
    <row r="69" spans="1:40" s="91" customFormat="1" ht="21" hidden="1" thickBot="1">
      <c r="A69" s="53" t="str">
        <v/>
      </c>
      <c r="B69" s="53" t="str">
        <v/>
      </c>
      <c r="C69" s="54" t="str">
        <v>Other Institutions Totals:</v>
      </c>
      <c r="D69" s="55" t="str">
        <v/>
      </c>
      <c r="E69" s="44" t="str">
        <v/>
      </c>
      <c r="F69" s="44" t="str">
        <v/>
      </c>
      <c r="G69" s="44" t="str">
        <v/>
      </c>
      <c r="H69" s="56">
        <v>6.7226890756302532E-2</v>
      </c>
      <c r="I69" s="57">
        <v>64</v>
      </c>
      <c r="J69" s="57" t="str">
        <v/>
      </c>
      <c r="K69" s="58">
        <v>1500</v>
      </c>
      <c r="L69" s="58" t="str">
        <v/>
      </c>
      <c r="M69" s="58" t="str">
        <v/>
      </c>
      <c r="N69" s="58" t="str">
        <v/>
      </c>
      <c r="O69" s="77" t="str">
        <v/>
      </c>
      <c r="P69" s="59" t="str">
        <v/>
      </c>
      <c r="Q69" s="77" t="str">
        <v/>
      </c>
      <c r="R69" s="60" t="str">
        <v/>
      </c>
      <c r="S69" s="59" t="str">
        <v/>
      </c>
      <c r="T69" s="60" t="str">
        <v/>
      </c>
      <c r="U69" s="60" t="str">
        <v/>
      </c>
      <c r="V69" s="59" t="str">
        <v/>
      </c>
      <c r="W69" s="60" t="str">
        <v/>
      </c>
      <c r="X69" s="60" t="str">
        <v/>
      </c>
      <c r="Y69" s="77" t="str">
        <v/>
      </c>
      <c r="Z69" s="60" t="str">
        <v/>
      </c>
      <c r="AA69" s="60" t="str">
        <v/>
      </c>
      <c r="AB69" s="77" t="str">
        <v/>
      </c>
      <c r="AC69" s="59" t="str">
        <v/>
      </c>
      <c r="AD69" s="77" t="str">
        <v/>
      </c>
      <c r="AE69" s="59" t="str">
        <v/>
      </c>
      <c r="AF69" s="59" t="str">
        <v/>
      </c>
      <c r="AG69" s="59" t="str">
        <v/>
      </c>
      <c r="AH69" s="59" t="str">
        <v/>
      </c>
      <c r="AI69" s="59" t="str">
        <v/>
      </c>
      <c r="AJ69" s="59" t="str">
        <v/>
      </c>
      <c r="AK69" s="59" t="str">
        <v/>
      </c>
      <c r="AL69" s="11" t="str">
        <v/>
      </c>
      <c r="AM69" s="11"/>
      <c r="AN69" s="11"/>
    </row>
    <row r="70" spans="1:40" ht="68.099999999999994">
      <c r="A70" s="165">
        <v>1.3</v>
      </c>
      <c r="B70" s="166" t="str">
        <v>Installation</v>
      </c>
      <c r="C70" s="167" t="str">
        <v>String Sensors 87-88</v>
      </c>
      <c r="D70" s="167" t="str">
        <v>Optical sensors for 2 strings from Germany (mDOMs) (spares included) - Do Not Deep Freeze</v>
      </c>
      <c r="E70" s="152">
        <v>40</v>
      </c>
      <c r="F70" s="152">
        <v>48</v>
      </c>
      <c r="G70" s="152">
        <v>46</v>
      </c>
      <c r="H70" s="152">
        <v>16</v>
      </c>
      <c r="I70" s="154">
        <v>817.77777777777783</v>
      </c>
      <c r="J70" s="154">
        <v>573</v>
      </c>
      <c r="K70" s="154">
        <v>9168</v>
      </c>
      <c r="L70" s="152" t="str">
        <v>actual</v>
      </c>
      <c r="M70" s="168" t="str">
        <v>DNDF [-40C]</v>
      </c>
      <c r="N70" s="156" t="str">
        <v>DESY</v>
      </c>
      <c r="O70" s="407">
        <v>122</v>
      </c>
      <c r="P70" s="158">
        <v>45017</v>
      </c>
      <c r="Q70" s="158" t="str">
        <v>DESY - CHC</v>
      </c>
      <c r="R70" s="158">
        <v>45139</v>
      </c>
      <c r="S70" s="160" t="str">
        <v>ComSur</v>
      </c>
      <c r="T70" s="160" t="str">
        <v>DESY-CHC</v>
      </c>
      <c r="U70" s="160" t="str">
        <v>-</v>
      </c>
      <c r="V70" s="162" t="str">
        <v>ComSur</v>
      </c>
      <c r="W70" s="162" t="str">
        <v>CHC - MCM</v>
      </c>
      <c r="X70" s="162" t="str">
        <v>-</v>
      </c>
      <c r="Y70" s="157" t="str">
        <v>USAP  Air</v>
      </c>
      <c r="Z70" s="169">
        <v>45231</v>
      </c>
      <c r="AA70" s="156" t="str">
        <v>-</v>
      </c>
      <c r="AB70" s="157" t="str">
        <v>LC-130</v>
      </c>
      <c r="AC70" s="157">
        <v>45306</v>
      </c>
      <c r="AD70" s="163" t="str">
        <v>Yes</v>
      </c>
      <c r="AE70" s="163" t="str">
        <v>FY24 inter</v>
      </c>
      <c r="AF70" s="163" t="str">
        <v>FY24 intra</v>
      </c>
      <c r="AG70" s="157" t="str">
        <v>T. Karg</v>
      </c>
      <c r="AH70" s="157">
        <v>44459</v>
      </c>
      <c r="AI70" s="157" t="str">
        <v>D. Tosi</v>
      </c>
      <c r="AJ70" s="157">
        <v>44461</v>
      </c>
      <c r="AK70" s="163" t="str">
        <v>mDOM weight is 62 lbs (25kg/sensor + 3 kg/box) + 35kg pallet, assume 8 mDOMs/pallet - 116 to be deployed + 12 spares - 
shipped in 20 HC container. Container weight not included in the assumption that pallet will be taken out in CHC.</v>
      </c>
      <c r="AL70" s="146" t="str">
        <v/>
      </c>
    </row>
    <row r="71" spans="1:40" ht="68.099999999999994">
      <c r="A71" s="165">
        <v>1.3</v>
      </c>
      <c r="B71" s="166" t="str">
        <v>Installation</v>
      </c>
      <c r="C71" s="167" t="str">
        <v>String Sensors 87-88</v>
      </c>
      <c r="D71" s="167" t="str">
        <v>Optical sensors for 2 strings from Germany (mDOMs) (SPARES) - Do Not Deep Freeze</v>
      </c>
      <c r="E71" s="152">
        <v>40</v>
      </c>
      <c r="F71" s="152">
        <v>48</v>
      </c>
      <c r="G71" s="152">
        <v>46</v>
      </c>
      <c r="H71" s="152">
        <v>0</v>
      </c>
      <c r="I71" s="154">
        <v>0</v>
      </c>
      <c r="J71" s="154">
        <v>573</v>
      </c>
      <c r="K71" s="154">
        <v>0</v>
      </c>
      <c r="L71" s="152" t="str">
        <v>actual</v>
      </c>
      <c r="M71" s="168" t="str">
        <v>DNDF [-40C]</v>
      </c>
      <c r="N71" s="156" t="str">
        <v>DESY</v>
      </c>
      <c r="O71" s="407">
        <v>122</v>
      </c>
      <c r="P71" s="158">
        <v>45017</v>
      </c>
      <c r="Q71" s="158" t="str">
        <v>DESY - CHC</v>
      </c>
      <c r="R71" s="158">
        <v>45139</v>
      </c>
      <c r="S71" s="160" t="str">
        <v>ComSur</v>
      </c>
      <c r="T71" s="160" t="str">
        <v>DESY-CHC</v>
      </c>
      <c r="U71" s="160" t="str">
        <v>-</v>
      </c>
      <c r="V71" s="162" t="str">
        <v>ComSur</v>
      </c>
      <c r="W71" s="162" t="str">
        <v>CHC - MCM</v>
      </c>
      <c r="X71" s="162" t="str">
        <v>-</v>
      </c>
      <c r="Y71" s="157" t="str">
        <v>USAP  Air</v>
      </c>
      <c r="Z71" s="169">
        <v>45231</v>
      </c>
      <c r="AA71" s="156" t="str">
        <v>-</v>
      </c>
      <c r="AB71" s="157" t="str">
        <v>LC-130</v>
      </c>
      <c r="AC71" s="157">
        <v>45306</v>
      </c>
      <c r="AD71" s="163" t="str">
        <v>Yes</v>
      </c>
      <c r="AE71" s="163" t="str">
        <v>FY24 inter</v>
      </c>
      <c r="AF71" s="163" t="str">
        <v>FY24 intra</v>
      </c>
      <c r="AG71" s="157" t="str">
        <v>T. Karg</v>
      </c>
      <c r="AH71" s="157">
        <v>44459</v>
      </c>
      <c r="AI71" s="157" t="str">
        <v>D. Tosi</v>
      </c>
      <c r="AJ71" s="157">
        <v>44461</v>
      </c>
      <c r="AK71" s="163" t="str">
        <v>mDOM weight is 62 lbs (25kg/sensor + 3 kg/box) + 35kg pallet, assume 8 mDOMs/pallet - shipped in 20 HC container. Container weight not included in the assumption that pallet will be taken out in CHC.</v>
      </c>
      <c r="AL71" s="146" t="str">
        <v/>
      </c>
    </row>
    <row r="72" spans="1:40" ht="33.950000000000003">
      <c r="A72" s="165">
        <v>1.3</v>
      </c>
      <c r="B72" s="166" t="str">
        <v>Installation</v>
      </c>
      <c r="C72" s="167" t="str">
        <v>Special Devices 87-88</v>
      </c>
      <c r="D72" s="167" t="str">
        <v>Special devices for 2 strings from DESY/Germany/Sweden (8 WOMs, 0 Abalone) + spares - Do Not Deep Freeze</v>
      </c>
      <c r="E72" s="152">
        <v>40</v>
      </c>
      <c r="F72" s="152">
        <v>21</v>
      </c>
      <c r="G72" s="152">
        <v>64</v>
      </c>
      <c r="H72" s="152">
        <v>1</v>
      </c>
      <c r="I72" s="154">
        <v>31.111111111111111</v>
      </c>
      <c r="J72" s="154">
        <v>701</v>
      </c>
      <c r="K72" s="154">
        <v>701</v>
      </c>
      <c r="L72" s="152" t="str">
        <v>estimated</v>
      </c>
      <c r="M72" s="176" t="str">
        <v>DNDF [-40C]</v>
      </c>
      <c r="N72" s="156" t="str">
        <v>Mainz</v>
      </c>
      <c r="O72" s="407">
        <v>212</v>
      </c>
      <c r="P72" s="158">
        <v>44927</v>
      </c>
      <c r="Q72" s="158" t="str">
        <v>DESY - CHC</v>
      </c>
      <c r="R72" s="158">
        <v>45139</v>
      </c>
      <c r="S72" s="160" t="str">
        <v>ComSur</v>
      </c>
      <c r="T72" s="160" t="str">
        <v>DESY-CHC</v>
      </c>
      <c r="U72" s="160" t="str">
        <v>-</v>
      </c>
      <c r="V72" s="162" t="str">
        <v>ComSur</v>
      </c>
      <c r="W72" s="162" t="str">
        <v>CHC - MCM</v>
      </c>
      <c r="X72" s="162" t="str">
        <v>-</v>
      </c>
      <c r="Y72" s="157" t="str">
        <v>USAP  Air</v>
      </c>
      <c r="Z72" s="169">
        <v>45231</v>
      </c>
      <c r="AA72" s="156" t="str">
        <v>-</v>
      </c>
      <c r="AB72" s="157" t="str">
        <v>LC-130</v>
      </c>
      <c r="AC72" s="157">
        <v>45306</v>
      </c>
      <c r="AD72" s="163" t="str">
        <v>Yes</v>
      </c>
      <c r="AE72" s="163" t="str">
        <v>FY24 inter</v>
      </c>
      <c r="AF72" s="163" t="str">
        <v>FY24 intra</v>
      </c>
      <c r="AG72" s="157" t="str">
        <v>S. Boeser</v>
      </c>
      <c r="AH72" s="157">
        <v>44482</v>
      </c>
      <c r="AI72" s="157" t="str">
        <v>D. Tosi</v>
      </c>
      <c r="AJ72" s="157">
        <v>44482</v>
      </c>
      <c r="AK72" s="163" t="str">
        <v xml:space="preserve">8 WOMs (no spares) - AH not included for now. Assume 150 lbs crate.  </v>
      </c>
      <c r="AL72" s="146" t="str">
        <v/>
      </c>
    </row>
    <row r="73" spans="1:40" ht="33.950000000000003">
      <c r="A73" s="165">
        <v>1.5</v>
      </c>
      <c r="B73" s="166" t="str">
        <v>Installation</v>
      </c>
      <c r="C73" s="167" t="str">
        <v>Calibration Devices 87-88</v>
      </c>
      <c r="D73" s="167" t="str">
        <v>Calibration devices for 2 strings from DESY/Germany/Sweden (4+2 POCAMs, 3+1 Acoustic sensors,  2+1 Swedish Cameras) - Do Not Deep Freeze</v>
      </c>
      <c r="E73" s="180">
        <v>62</v>
      </c>
      <c r="F73" s="180">
        <v>38</v>
      </c>
      <c r="G73" s="180">
        <v>41</v>
      </c>
      <c r="H73" s="152">
        <v>1</v>
      </c>
      <c r="I73" s="154">
        <v>55.900462962962962</v>
      </c>
      <c r="J73" s="154">
        <v>836</v>
      </c>
      <c r="K73" s="154">
        <v>836</v>
      </c>
      <c r="L73" s="152" t="str">
        <v>estimated</v>
      </c>
      <c r="M73" s="168" t="str">
        <v>DNDF [-40C]</v>
      </c>
      <c r="N73" s="156" t="str">
        <v>TUM/Aachen/Sweden</v>
      </c>
      <c r="O73" s="407">
        <v>426</v>
      </c>
      <c r="P73" s="158">
        <v>44713</v>
      </c>
      <c r="Q73" s="158" t="str">
        <v>DESY - CHC</v>
      </c>
      <c r="R73" s="158">
        <v>45139</v>
      </c>
      <c r="S73" s="160" t="str">
        <v>ComSur</v>
      </c>
      <c r="T73" s="160" t="str">
        <v>DESY-CHC</v>
      </c>
      <c r="U73" s="160" t="str">
        <v>-</v>
      </c>
      <c r="V73" s="162" t="str">
        <v>ComSur</v>
      </c>
      <c r="W73" s="162" t="str">
        <v>CHC-MCM</v>
      </c>
      <c r="X73" s="162" t="str">
        <v>-</v>
      </c>
      <c r="Y73" s="157" t="str">
        <v>USAP  Air</v>
      </c>
      <c r="Z73" s="169">
        <v>45231</v>
      </c>
      <c r="AA73" s="156" t="str">
        <v>-</v>
      </c>
      <c r="AB73" s="157" t="str">
        <v>LC-130</v>
      </c>
      <c r="AC73" s="157">
        <v>45306</v>
      </c>
      <c r="AD73" s="163" t="str">
        <v>Yes</v>
      </c>
      <c r="AE73" s="163" t="str">
        <v>FY24 inter</v>
      </c>
      <c r="AF73" s="163" t="str">
        <v>FY24 intra</v>
      </c>
      <c r="AG73" s="157" t="str">
        <v>D. Williams</v>
      </c>
      <c r="AH73" s="157">
        <v>44482</v>
      </c>
      <c r="AI73" s="157" t="str">
        <v>D. Tosi</v>
      </c>
      <c r="AJ73" s="157">
        <v>44482</v>
      </c>
      <c r="AK73" s="163" t="str">
        <v>Calibration devices for strings 87-88 = 2+1 Sweden Camera + 3+1 Acoustic Module + 4+1 POCAM, including spares, 200 lbs crate</v>
      </c>
      <c r="AL73" s="146" t="str">
        <v/>
      </c>
    </row>
    <row r="74" spans="1:40" ht="33.950000000000003">
      <c r="A74" s="147">
        <v>1.4</v>
      </c>
      <c r="B74" s="148" t="str">
        <v>Installation</v>
      </c>
      <c r="C74" s="150" t="str">
        <v>FieldHub electronics</v>
      </c>
      <c r="D74" s="164" t="str">
        <v>Required onsite for FY24 installation. 1 crate containing readout electronics for installation in ICL - Do Not Freeze</v>
      </c>
      <c r="E74" s="151">
        <v>48</v>
      </c>
      <c r="F74" s="151">
        <v>48</v>
      </c>
      <c r="G74" s="151">
        <v>36</v>
      </c>
      <c r="H74" s="152">
        <v>1</v>
      </c>
      <c r="I74" s="154">
        <v>48</v>
      </c>
      <c r="J74" s="154">
        <v>275</v>
      </c>
      <c r="K74" s="154">
        <v>275</v>
      </c>
      <c r="L74" s="152" t="str">
        <v>preliminary</v>
      </c>
      <c r="M74" s="155" t="str">
        <v>DNF</v>
      </c>
      <c r="N74" s="156" t="str">
        <v>DESY</v>
      </c>
      <c r="O74" s="407">
        <v>14</v>
      </c>
      <c r="P74" s="158">
        <v>45139</v>
      </c>
      <c r="Q74" s="158" t="str">
        <v>DESY - CHC</v>
      </c>
      <c r="R74" s="158">
        <v>45153</v>
      </c>
      <c r="S74" s="160" t="str">
        <v>ComSur</v>
      </c>
      <c r="T74" s="160" t="str">
        <v>DESY-CHC</v>
      </c>
      <c r="U74" s="160" t="str">
        <v>-</v>
      </c>
      <c r="V74" s="162" t="str">
        <v>ComSur</v>
      </c>
      <c r="W74" s="162" t="str">
        <v>CHC-MCM</v>
      </c>
      <c r="X74" s="162" t="str">
        <v>-</v>
      </c>
      <c r="Y74" s="157" t="str">
        <v>USAP  Air</v>
      </c>
      <c r="Z74" s="169">
        <v>45231</v>
      </c>
      <c r="AA74" s="156" t="str">
        <v>-</v>
      </c>
      <c r="AB74" s="157" t="str">
        <v>LC-130</v>
      </c>
      <c r="AC74" s="157">
        <v>45261</v>
      </c>
      <c r="AD74" s="163" t="str">
        <v>No</v>
      </c>
      <c r="AE74" s="163" t="str">
        <v>FY24 inter</v>
      </c>
      <c r="AF74" s="163" t="str">
        <v>FY24 intra</v>
      </c>
      <c r="AG74" s="157" t="str">
        <v>J. Kelley</v>
      </c>
      <c r="AH74" s="157">
        <v>44482</v>
      </c>
      <c r="AI74" s="157" t="str">
        <v>D. Tosi</v>
      </c>
      <c r="AJ74" s="157">
        <v>44482</v>
      </c>
      <c r="AK74" s="163" t="str">
        <v>Field Hubs are 442mm x 480mm x 133 mm (17.4" x 18.9" x 5.2") and weight maybe 10 lb each.  100 lbs crate. Ready to ship date actually chosen to be 2 weeks ahead of ship date to maximize time with the electronics (sort of backloaded)</v>
      </c>
      <c r="AL74" s="146" t="str">
        <v/>
      </c>
    </row>
    <row r="75" spans="1:40" s="9" customFormat="1" ht="68.099999999999994" hidden="1">
      <c r="A75" s="25">
        <v>1.3</v>
      </c>
      <c r="B75" s="48" t="str">
        <v>Installation</v>
      </c>
      <c r="C75" s="3" t="str">
        <v>String Sensors 89-93</v>
      </c>
      <c r="D75" s="3" t="str">
        <v>Optical sensors for 5 strings from Germany (mDOMs) - Do Not Deep Freeze</v>
      </c>
      <c r="E75" s="23">
        <v>40</v>
      </c>
      <c r="F75" s="23">
        <v>48</v>
      </c>
      <c r="G75" s="445">
        <v>46</v>
      </c>
      <c r="H75" s="23">
        <v>12</v>
      </c>
      <c r="I75" s="4">
        <v>613.33333333333337</v>
      </c>
      <c r="J75" s="4">
        <v>573</v>
      </c>
      <c r="K75" s="4">
        <v>6876</v>
      </c>
      <c r="L75" s="445" t="str">
        <v>actual(**)</v>
      </c>
      <c r="M75" s="6" t="str">
        <v>DNDF [-40C]</v>
      </c>
      <c r="N75" s="10" t="str">
        <v>DESY</v>
      </c>
      <c r="O75" s="435">
        <v>397</v>
      </c>
      <c r="P75" s="428">
        <v>45108</v>
      </c>
      <c r="Q75" s="429" t="str">
        <v>DESY - CHC</v>
      </c>
      <c r="R75" s="428">
        <v>45505</v>
      </c>
      <c r="S75" s="431" t="str">
        <v>ComSur</v>
      </c>
      <c r="T75" s="431" t="str">
        <v>DESY-CHC</v>
      </c>
      <c r="U75" s="431" t="str">
        <v>-</v>
      </c>
      <c r="V75" s="433" t="str">
        <v>ComSur</v>
      </c>
      <c r="W75" s="433" t="str">
        <v>CHC - MCM</v>
      </c>
      <c r="X75" s="433" t="str">
        <v>-</v>
      </c>
      <c r="Y75" s="435" t="str">
        <v>USAP  Air</v>
      </c>
      <c r="Z75" s="434">
        <v>45597</v>
      </c>
      <c r="AA75" s="427" t="str">
        <v>-</v>
      </c>
      <c r="AB75" s="435" t="str">
        <v>LC-130</v>
      </c>
      <c r="AC75" s="409">
        <v>45621</v>
      </c>
      <c r="AD75" s="409" t="str">
        <v>Yes</v>
      </c>
      <c r="AE75" s="409" t="str">
        <v>FY25 inter</v>
      </c>
      <c r="AF75" s="409" t="str">
        <v>FY25 intra</v>
      </c>
      <c r="AG75" s="409" t="str">
        <v>T. Karg</v>
      </c>
      <c r="AH75" s="409">
        <v>44459</v>
      </c>
      <c r="AI75" s="409" t="str">
        <v>D. Tosi</v>
      </c>
      <c r="AJ75" s="409">
        <v>44461</v>
      </c>
      <c r="AK75" s="409" t="str">
        <v>mDOM weight is (28kg/sensor boxed) + 35kg pallet, assume 8 mDOMs/pallet - 190 to be deployed + 10 spares. (**) shipped in 20 HC container. Container not included in weight as pallets will be taken out.</v>
      </c>
      <c r="AL75" s="9" t="str">
        <v/>
      </c>
    </row>
    <row r="76" spans="1:40" s="9" customFormat="1" ht="33.950000000000003" hidden="1">
      <c r="A76" s="25">
        <v>1.3</v>
      </c>
      <c r="B76" s="48" t="str">
        <v>Installation</v>
      </c>
      <c r="C76" s="3" t="str">
        <v>Special Devices 89-93</v>
      </c>
      <c r="D76" s="3" t="str">
        <v>Special devices for 5 remaining strings from DESY/Germany/Sweden (6 WOMs,  3 Abalone Hubs or WOM Traps)  no spares - Do Not Deep Freeze</v>
      </c>
      <c r="E76" s="23">
        <v>32</v>
      </c>
      <c r="F76" s="23">
        <v>31</v>
      </c>
      <c r="G76" s="23">
        <v>89</v>
      </c>
      <c r="H76" s="23">
        <v>1</v>
      </c>
      <c r="I76" s="4">
        <v>51.092592592592595</v>
      </c>
      <c r="J76" s="4">
        <v>1035</v>
      </c>
      <c r="K76" s="4">
        <v>1035</v>
      </c>
      <c r="L76" s="445" t="str">
        <v>preliminary</v>
      </c>
      <c r="M76" s="38" t="str">
        <v>DNDF [-40C]</v>
      </c>
      <c r="N76" s="10" t="str">
        <v>Mainz</v>
      </c>
      <c r="O76" s="435">
        <v>213</v>
      </c>
      <c r="P76" s="428">
        <v>45292</v>
      </c>
      <c r="Q76" s="429" t="str">
        <v>DESY - CHC</v>
      </c>
      <c r="R76" s="428">
        <v>45505</v>
      </c>
      <c r="S76" s="431" t="str">
        <v>ComSur</v>
      </c>
      <c r="T76" s="431" t="str">
        <v>DESY-CHC</v>
      </c>
      <c r="U76" s="431" t="str">
        <v>-</v>
      </c>
      <c r="V76" s="433" t="str">
        <v>ComSur</v>
      </c>
      <c r="W76" s="433" t="str">
        <v>CHC - MCM</v>
      </c>
      <c r="X76" s="433" t="str">
        <v>-</v>
      </c>
      <c r="Y76" s="435" t="str">
        <v>USAP  Air</v>
      </c>
      <c r="Z76" s="434">
        <v>45597</v>
      </c>
      <c r="AA76" s="427" t="str">
        <v>-</v>
      </c>
      <c r="AB76" s="435" t="str">
        <v>LC-130</v>
      </c>
      <c r="AC76" s="409">
        <v>45621</v>
      </c>
      <c r="AD76" s="409" t="str">
        <v>Yes</v>
      </c>
      <c r="AE76" s="409" t="str">
        <v>FY25 inter</v>
      </c>
      <c r="AF76" s="409" t="str">
        <v>FY25 intra</v>
      </c>
      <c r="AG76" s="409" t="str">
        <v>S. Boeser</v>
      </c>
      <c r="AH76" s="409">
        <v>44482</v>
      </c>
      <c r="AI76" s="409" t="str">
        <v>D. Tosi</v>
      </c>
      <c r="AJ76" s="409">
        <v>44482</v>
      </c>
      <c r="AK76" s="409" t="str">
        <v>6 Special Devices from Germany 6 (WOM + 0 AH) including 0 spare for each. Assume 170 lbs crate.</v>
      </c>
      <c r="AL76" s="9" t="str">
        <v/>
      </c>
    </row>
    <row r="77" spans="1:40" s="9" customFormat="1" ht="50.25" hidden="1" customHeight="1">
      <c r="A77" s="25">
        <v>1.5</v>
      </c>
      <c r="B77" s="48" t="str">
        <v>Installation</v>
      </c>
      <c r="C77" s="3" t="str">
        <v>Calibration Devices 89-93</v>
      </c>
      <c r="D77" s="3" t="str">
        <v>Calibration for 5 strings from DESY/Germany/Sweden (17+2 POCAMs, 7+ 1 Acoustic sensors,  3+ 1 Swedish Cameras) including spares - Do Not Deep Freeze</v>
      </c>
      <c r="E77" s="92">
        <v>62</v>
      </c>
      <c r="F77" s="92">
        <v>48</v>
      </c>
      <c r="G77" s="92">
        <v>44</v>
      </c>
      <c r="H77" s="23">
        <v>1</v>
      </c>
      <c r="I77" s="4">
        <v>75.777777777777771</v>
      </c>
      <c r="J77" s="4">
        <v>1694</v>
      </c>
      <c r="K77" s="4">
        <v>1694</v>
      </c>
      <c r="L77" s="445" t="str">
        <v>preliminary</v>
      </c>
      <c r="M77" s="6" t="str">
        <v>DNDF [-40C]</v>
      </c>
      <c r="N77" s="10" t="str">
        <v>TUM/Aachen/Sweden</v>
      </c>
      <c r="O77" s="435">
        <v>792</v>
      </c>
      <c r="P77" s="428">
        <v>44713</v>
      </c>
      <c r="Q77" s="429" t="str">
        <v>DESY - CHC</v>
      </c>
      <c r="R77" s="428">
        <v>45505</v>
      </c>
      <c r="S77" s="431" t="str">
        <v>ComSur</v>
      </c>
      <c r="T77" s="431" t="str">
        <v>DESY-CHC</v>
      </c>
      <c r="U77" s="431" t="str">
        <v>-</v>
      </c>
      <c r="V77" s="433" t="str">
        <v>ComSur</v>
      </c>
      <c r="W77" s="433" t="str">
        <v>CHC-MCM</v>
      </c>
      <c r="X77" s="433" t="str">
        <v>-</v>
      </c>
      <c r="Y77" s="435" t="str">
        <v>USAP  Air</v>
      </c>
      <c r="Z77" s="434">
        <v>45597</v>
      </c>
      <c r="AA77" s="427" t="str">
        <v>-</v>
      </c>
      <c r="AB77" s="435" t="str">
        <v>LC-130</v>
      </c>
      <c r="AC77" s="409">
        <v>45621</v>
      </c>
      <c r="AD77" s="409" t="str">
        <v>Yes</v>
      </c>
      <c r="AE77" s="409" t="str">
        <v>FY25 inter</v>
      </c>
      <c r="AF77" s="409" t="str">
        <v>FY25 intra</v>
      </c>
      <c r="AG77" s="409" t="str">
        <v>D. Williams</v>
      </c>
      <c r="AH77" s="409">
        <v>44482</v>
      </c>
      <c r="AI77" s="409" t="str">
        <v>D. Tosi</v>
      </c>
      <c r="AJ77" s="409">
        <v>44482</v>
      </c>
      <c r="AK77" s="409" t="str">
        <v>Calibration devices for strings 89-93 = 3+1 Sweden Camera,7+1 + Acoustic Module,17 +1 POCAM, including spares, 200 lbs crate</v>
      </c>
      <c r="AL77" s="9" t="str">
        <v/>
      </c>
    </row>
    <row r="78" spans="1:40" s="91" customFormat="1" ht="33.75" hidden="1" customHeight="1" thickBot="1">
      <c r="A78" s="53" t="str">
        <v/>
      </c>
      <c r="B78" s="53" t="str">
        <v/>
      </c>
      <c r="C78" s="54" t="str">
        <v>DESY/Aachen/TUM/Sweden etc Totals:</v>
      </c>
      <c r="D78" s="55" t="str">
        <v/>
      </c>
      <c r="E78" s="44" t="str">
        <v/>
      </c>
      <c r="F78" s="44" t="str">
        <v/>
      </c>
      <c r="G78" s="44" t="str">
        <v>TEU=&gt;</v>
      </c>
      <c r="H78" s="56">
        <v>1.778354049953315</v>
      </c>
      <c r="I78" s="57">
        <v>1692.9930555555557</v>
      </c>
      <c r="J78" s="57" t="str">
        <v/>
      </c>
      <c r="K78" s="57">
        <v>20585</v>
      </c>
      <c r="L78" s="58" t="str">
        <v/>
      </c>
      <c r="M78" s="58" t="str">
        <v/>
      </c>
      <c r="N78" s="58" t="str">
        <v/>
      </c>
      <c r="O78" s="77" t="str">
        <v/>
      </c>
      <c r="P78" s="59" t="str">
        <v/>
      </c>
      <c r="Q78" s="77" t="str">
        <v/>
      </c>
      <c r="R78" s="60" t="str">
        <v/>
      </c>
      <c r="S78" s="59" t="str">
        <v/>
      </c>
      <c r="T78" s="60" t="str">
        <v/>
      </c>
      <c r="U78" s="60" t="str">
        <v/>
      </c>
      <c r="V78" s="59" t="str">
        <v/>
      </c>
      <c r="W78" s="60" t="str">
        <v/>
      </c>
      <c r="X78" s="60" t="str">
        <v/>
      </c>
      <c r="Y78" s="77" t="str">
        <v/>
      </c>
      <c r="Z78" s="60" t="str">
        <v/>
      </c>
      <c r="AA78" s="60" t="str">
        <v/>
      </c>
      <c r="AB78" s="77" t="str">
        <v/>
      </c>
      <c r="AC78" s="59" t="str">
        <v/>
      </c>
      <c r="AD78" s="77" t="str">
        <v/>
      </c>
      <c r="AE78" s="59" t="str">
        <v/>
      </c>
      <c r="AF78" s="59" t="str">
        <v/>
      </c>
      <c r="AG78" s="59" t="str">
        <v/>
      </c>
      <c r="AH78" s="59" t="str">
        <v/>
      </c>
      <c r="AI78" s="59" t="str">
        <v/>
      </c>
      <c r="AJ78" s="59" t="str">
        <v/>
      </c>
      <c r="AK78" s="59" t="str">
        <v/>
      </c>
      <c r="AL78" s="11" t="str">
        <v/>
      </c>
      <c r="AM78" s="11"/>
      <c r="AN78" s="11"/>
    </row>
    <row r="79" spans="1:40" ht="51">
      <c r="A79" s="181">
        <v>1.3</v>
      </c>
      <c r="B79" s="166" t="str">
        <v>Installation</v>
      </c>
      <c r="C79" s="164" t="str">
        <v>String Sensors 87 &amp; 88</v>
      </c>
      <c r="D79" s="164" t="str">
        <v>Sensors (D-Eggs) pallets with 8 sensors  at Pole overwinter - Cryo location - Do Not Deep Freeze</v>
      </c>
      <c r="E79" s="176">
        <v>41</v>
      </c>
      <c r="F79" s="176">
        <v>41</v>
      </c>
      <c r="G79" s="176">
        <v>69</v>
      </c>
      <c r="H79" s="176">
        <v>4</v>
      </c>
      <c r="I79" s="154">
        <v>268.49305555555554</v>
      </c>
      <c r="J79" s="154">
        <v>750</v>
      </c>
      <c r="K79" s="154">
        <v>3000</v>
      </c>
      <c r="L79" s="152" t="str">
        <v>actual</v>
      </c>
      <c r="M79" s="168" t="str">
        <v>DNDF [-40C]</v>
      </c>
      <c r="N79" s="156" t="str">
        <v>Chiba</v>
      </c>
      <c r="O79" s="407">
        <v>426</v>
      </c>
      <c r="P79" s="158">
        <v>44713</v>
      </c>
      <c r="Q79" s="158" t="str">
        <v>ChibaU - CHC</v>
      </c>
      <c r="R79" s="158">
        <v>45139</v>
      </c>
      <c r="S79" s="160" t="str">
        <v>Cargo shipment by CHU</v>
      </c>
      <c r="T79" s="160" t="str">
        <v>ChibaU - CHC</v>
      </c>
      <c r="U79" s="160" t="str">
        <v>-</v>
      </c>
      <c r="V79" s="162" t="str">
        <v>ComSur</v>
      </c>
      <c r="W79" s="162" t="str">
        <v>CHC - MCM</v>
      </c>
      <c r="X79" s="162" t="str">
        <v>-</v>
      </c>
      <c r="Y79" s="157" t="str">
        <v>USAP Air</v>
      </c>
      <c r="Z79" s="169">
        <v>45231</v>
      </c>
      <c r="AA79" s="156" t="str">
        <v>-</v>
      </c>
      <c r="AB79" s="157" t="str">
        <v>LC-130</v>
      </c>
      <c r="AC79" s="157">
        <v>45306</v>
      </c>
      <c r="AD79" s="163" t="str">
        <v>Yes</v>
      </c>
      <c r="AE79" s="163" t="str">
        <v>FY24 inter</v>
      </c>
      <c r="AF79" s="163" t="str">
        <v>FY24 intra</v>
      </c>
      <c r="AG79" s="157" t="str">
        <v>S. Yoshida</v>
      </c>
      <c r="AH79" s="157">
        <v>44461</v>
      </c>
      <c r="AI79" s="157" t="str">
        <v>D. Tosi</v>
      </c>
      <c r="AJ79" s="157">
        <v>44461</v>
      </c>
      <c r="AK79" s="163" t="str">
        <v>Pallet sizes are under review. shipped in 20 and 40ft container. Container weight not included in the assumption that pallet will be taken out in CHC.</v>
      </c>
      <c r="AL79" s="146" t="str">
        <v/>
      </c>
    </row>
    <row r="80" spans="1:40" ht="51">
      <c r="A80" s="181">
        <v>1.3</v>
      </c>
      <c r="B80" s="166" t="str">
        <v>Installation</v>
      </c>
      <c r="C80" s="164" t="str">
        <v>String Sensors 87 &amp; 88</v>
      </c>
      <c r="D80" s="164" t="str">
        <v xml:space="preserve">Sensors (D-Eggs) pallets with 8 sensors  at Pole overwinter (SPARES - TBD) - Cryo location - Do Not Deep Freeze </v>
      </c>
      <c r="E80" s="176">
        <v>41</v>
      </c>
      <c r="F80" s="176">
        <v>41</v>
      </c>
      <c r="G80" s="176">
        <v>69</v>
      </c>
      <c r="H80" s="176">
        <v>1</v>
      </c>
      <c r="I80" s="154">
        <v>67.123263888888886</v>
      </c>
      <c r="J80" s="154">
        <v>750</v>
      </c>
      <c r="K80" s="154">
        <v>750</v>
      </c>
      <c r="L80" s="152" t="str">
        <v>actual</v>
      </c>
      <c r="M80" s="168" t="str">
        <v>DNDF [-40C]</v>
      </c>
      <c r="N80" s="156" t="str">
        <v>Chiba</v>
      </c>
      <c r="O80" s="407">
        <v>426</v>
      </c>
      <c r="P80" s="158">
        <v>44713</v>
      </c>
      <c r="Q80" s="158" t="str">
        <v>ChibaU - CHC</v>
      </c>
      <c r="R80" s="158">
        <v>45139</v>
      </c>
      <c r="S80" s="160" t="str">
        <v>Cargo shipment by CHU</v>
      </c>
      <c r="T80" s="160" t="str">
        <v>ChibaU - CHC</v>
      </c>
      <c r="U80" s="160" t="str">
        <v>-</v>
      </c>
      <c r="V80" s="162" t="str">
        <v>ComSur</v>
      </c>
      <c r="W80" s="162" t="str">
        <v>CHC - MCM</v>
      </c>
      <c r="X80" s="162" t="str">
        <v>-</v>
      </c>
      <c r="Y80" s="157" t="str">
        <v>USAP Air</v>
      </c>
      <c r="Z80" s="169">
        <v>45231</v>
      </c>
      <c r="AA80" s="156" t="str">
        <v>-</v>
      </c>
      <c r="AB80" s="157" t="str">
        <v>LC-130</v>
      </c>
      <c r="AC80" s="157">
        <v>45306</v>
      </c>
      <c r="AD80" s="163" t="str">
        <v>Yes</v>
      </c>
      <c r="AE80" s="163" t="str">
        <v>FY24 inter</v>
      </c>
      <c r="AF80" s="163" t="str">
        <v>FY24 intra</v>
      </c>
      <c r="AG80" s="157" t="str">
        <v>S. Yoshida</v>
      </c>
      <c r="AH80" s="157">
        <v>44461</v>
      </c>
      <c r="AI80" s="157" t="str">
        <v>D. Tosi</v>
      </c>
      <c r="AJ80" s="157">
        <v>44461</v>
      </c>
      <c r="AK80" s="163" t="str">
        <v>Pallet sizes are under review. SPARES number to be confirmed.  shipped in 20 and 40ft container. Container weight not included in the assumption that pallet will be taken out in CHC.</v>
      </c>
      <c r="AL80" s="146" t="str">
        <v/>
      </c>
    </row>
    <row r="81" spans="1:40" ht="51">
      <c r="A81" s="181">
        <v>1.3</v>
      </c>
      <c r="B81" s="166" t="str">
        <v>Installation</v>
      </c>
      <c r="C81" s="164" t="str">
        <v>String Sensors 87 &amp; 88</v>
      </c>
      <c r="D81" s="164" t="str">
        <v>Sensors (D-Eggs) pallets with 12 sensors  at Pole overwinter - Cryo location - Do Not Deep Freeze</v>
      </c>
      <c r="E81" s="176">
        <v>60</v>
      </c>
      <c r="F81" s="176">
        <v>41</v>
      </c>
      <c r="G81" s="176">
        <v>69</v>
      </c>
      <c r="H81" s="176">
        <v>4</v>
      </c>
      <c r="I81" s="154">
        <v>392.91666666666669</v>
      </c>
      <c r="J81" s="154">
        <v>1102</v>
      </c>
      <c r="K81" s="154">
        <v>4408</v>
      </c>
      <c r="L81" s="152" t="str">
        <v>actual</v>
      </c>
      <c r="M81" s="168" t="str">
        <v>DNDF [-40C]</v>
      </c>
      <c r="N81" s="156" t="str">
        <v>Chiba</v>
      </c>
      <c r="O81" s="407">
        <v>426</v>
      </c>
      <c r="P81" s="158">
        <v>44713</v>
      </c>
      <c r="Q81" s="158" t="str">
        <v>ChibaU - CHC</v>
      </c>
      <c r="R81" s="158">
        <v>45139</v>
      </c>
      <c r="S81" s="160" t="str">
        <v>Cargo shipment by CHU</v>
      </c>
      <c r="T81" s="160" t="str">
        <v>ChibaU - CHC</v>
      </c>
      <c r="U81" s="160" t="str">
        <v>-</v>
      </c>
      <c r="V81" s="162" t="str">
        <v>ComSur</v>
      </c>
      <c r="W81" s="162" t="str">
        <v>CHC - MCM</v>
      </c>
      <c r="X81" s="162" t="str">
        <v>-</v>
      </c>
      <c r="Y81" s="157" t="str">
        <v>USAP Air</v>
      </c>
      <c r="Z81" s="169">
        <v>45231</v>
      </c>
      <c r="AA81" s="156" t="str">
        <v>-</v>
      </c>
      <c r="AB81" s="157" t="str">
        <v>LC-130</v>
      </c>
      <c r="AC81" s="157">
        <v>45306</v>
      </c>
      <c r="AD81" s="163" t="str">
        <v>Yes</v>
      </c>
      <c r="AE81" s="163" t="str">
        <v>FY24 inter</v>
      </c>
      <c r="AF81" s="163" t="str">
        <v>FY24 intra</v>
      </c>
      <c r="AG81" s="157" t="str">
        <v>S. Yoshida</v>
      </c>
      <c r="AH81" s="157">
        <v>44461</v>
      </c>
      <c r="AI81" s="157" t="str">
        <v>D. Tosi</v>
      </c>
      <c r="AJ81" s="157">
        <v>44461</v>
      </c>
      <c r="AK81" s="163" t="str">
        <v>Pallet sizes are under review. shipped in 20 and 40ft container. Container weight not included in the assumption that pallet will be taken out in CHC.</v>
      </c>
      <c r="AL81" s="146" t="str">
        <v/>
      </c>
    </row>
    <row r="82" spans="1:40" ht="51">
      <c r="A82" s="181">
        <v>1.3</v>
      </c>
      <c r="B82" s="166" t="str">
        <v>Installation</v>
      </c>
      <c r="C82" s="164" t="str">
        <v>String Sensors 87 &amp; 88</v>
      </c>
      <c r="D82" s="164" t="str">
        <v>Sensors (D-Eggs) pallets with 12 sensors  at Pole overwinter (SPARES - TBD)- Cryo location - Do Not Deep Freeze</v>
      </c>
      <c r="E82" s="176">
        <v>60</v>
      </c>
      <c r="F82" s="176">
        <v>41</v>
      </c>
      <c r="G82" s="176">
        <v>69</v>
      </c>
      <c r="H82" s="176">
        <v>1</v>
      </c>
      <c r="I82" s="154">
        <v>98.229166666666671</v>
      </c>
      <c r="J82" s="154">
        <v>1102</v>
      </c>
      <c r="K82" s="154">
        <v>1102</v>
      </c>
      <c r="L82" s="152" t="str">
        <v>actual</v>
      </c>
      <c r="M82" s="168" t="str">
        <v>DNDF [-40C]</v>
      </c>
      <c r="N82" s="156" t="str">
        <v>Chiba</v>
      </c>
      <c r="O82" s="407">
        <v>426</v>
      </c>
      <c r="P82" s="158">
        <v>44713</v>
      </c>
      <c r="Q82" s="158" t="str">
        <v>ChibaU - CHC</v>
      </c>
      <c r="R82" s="158">
        <v>45139</v>
      </c>
      <c r="S82" s="160" t="str">
        <v>Cargo shipment by CHU</v>
      </c>
      <c r="T82" s="160" t="str">
        <v>ChibaU - CHC</v>
      </c>
      <c r="U82" s="160" t="str">
        <v>-</v>
      </c>
      <c r="V82" s="162" t="str">
        <v>ComSur</v>
      </c>
      <c r="W82" s="162" t="str">
        <v>CHC - MCM</v>
      </c>
      <c r="X82" s="162" t="str">
        <v>-</v>
      </c>
      <c r="Y82" s="157" t="str">
        <v>USAP Air</v>
      </c>
      <c r="Z82" s="169">
        <v>45231</v>
      </c>
      <c r="AA82" s="156" t="str">
        <v>-</v>
      </c>
      <c r="AB82" s="157" t="str">
        <v>LC-130</v>
      </c>
      <c r="AC82" s="157">
        <v>45306</v>
      </c>
      <c r="AD82" s="163" t="str">
        <v>Yes</v>
      </c>
      <c r="AE82" s="163" t="str">
        <v>FY24 inter</v>
      </c>
      <c r="AF82" s="163" t="str">
        <v>FY24 intra</v>
      </c>
      <c r="AG82" s="157" t="str">
        <v>S. Yoshida</v>
      </c>
      <c r="AH82" s="157">
        <v>44461</v>
      </c>
      <c r="AI82" s="157" t="str">
        <v>D. Tosi</v>
      </c>
      <c r="AJ82" s="157">
        <v>44461</v>
      </c>
      <c r="AK82" s="163" t="str">
        <v>Pallet sizes are under review. SPARES number to be confirmed. shipped in 20 and 40ft container. Container weight not included in the assumption that pallet will be taken out in CHC.</v>
      </c>
      <c r="AL82" s="146" t="str">
        <v/>
      </c>
    </row>
    <row r="83" spans="1:40" s="9" customFormat="1" ht="51" hidden="1">
      <c r="A83" s="72">
        <v>1.3</v>
      </c>
      <c r="B83" s="48" t="str">
        <v>Installation</v>
      </c>
      <c r="C83" s="1" t="str">
        <v>String Sensors 89-93</v>
      </c>
      <c r="D83" s="1" t="str">
        <v>Sensors (D-Eggs) pallets with 8 sensors in McMurdo overwinter - Do Not Deep Freeze</v>
      </c>
      <c r="E83" s="38">
        <v>41</v>
      </c>
      <c r="F83" s="38">
        <v>41</v>
      </c>
      <c r="G83" s="38">
        <v>69</v>
      </c>
      <c r="H83" s="38">
        <v>10</v>
      </c>
      <c r="I83" s="4">
        <v>671.23263888888891</v>
      </c>
      <c r="J83" s="4">
        <v>750</v>
      </c>
      <c r="K83" s="4">
        <v>7500</v>
      </c>
      <c r="L83" s="445" t="str">
        <v>actual</v>
      </c>
      <c r="M83" s="6" t="str">
        <v>DNDF [-40C]</v>
      </c>
      <c r="N83" s="10" t="str">
        <v>Chiba</v>
      </c>
      <c r="O83" s="435">
        <v>61</v>
      </c>
      <c r="P83" s="428">
        <v>45078</v>
      </c>
      <c r="Q83" s="429" t="str">
        <v>ChibaU - CHC</v>
      </c>
      <c r="R83" s="428">
        <v>45139</v>
      </c>
      <c r="S83" s="431" t="str">
        <v>Cargo shipment by CHU</v>
      </c>
      <c r="T83" s="431" t="str">
        <v>ChibaU - CHC</v>
      </c>
      <c r="U83" s="431" t="str">
        <v>-</v>
      </c>
      <c r="V83" s="433" t="str">
        <v>ComSur</v>
      </c>
      <c r="W83" s="76" t="str">
        <v>CHC - MCM</v>
      </c>
      <c r="X83" s="433" t="str">
        <v>-</v>
      </c>
      <c r="Y83" s="435" t="str">
        <v>USAP Air</v>
      </c>
      <c r="Z83" s="434">
        <v>45597</v>
      </c>
      <c r="AA83" s="427" t="str">
        <v>-</v>
      </c>
      <c r="AB83" s="435" t="str">
        <v>LC-130</v>
      </c>
      <c r="AC83" s="409">
        <v>45621</v>
      </c>
      <c r="AD83" s="409" t="str">
        <v>Yes</v>
      </c>
      <c r="AE83" s="409" t="str">
        <v>FY25 inter</v>
      </c>
      <c r="AF83" s="409" t="str">
        <v>FY25 intra</v>
      </c>
      <c r="AG83" s="409" t="str">
        <v>S. Yoshida</v>
      </c>
      <c r="AH83" s="409">
        <v>44461</v>
      </c>
      <c r="AI83" s="409" t="str">
        <v>D. Tosi</v>
      </c>
      <c r="AJ83" s="409">
        <v>44461</v>
      </c>
      <c r="AK83" s="409" t="str">
        <v>Pallet sizes are under review. shipped in 20 and 40ft container. Container weight not included in the assumption that pallet will be taken out in CHC.</v>
      </c>
      <c r="AL83" s="9" t="str">
        <v/>
      </c>
    </row>
    <row r="84" spans="1:40" s="9" customFormat="1" ht="51" hidden="1">
      <c r="A84" s="72">
        <v>1.3</v>
      </c>
      <c r="B84" s="48" t="str">
        <v>Installation</v>
      </c>
      <c r="C84" s="1" t="str">
        <v>String Sensors 89-93</v>
      </c>
      <c r="D84" s="1" t="str">
        <v>Sensors (D-Eggs) pallets with 12 sensors  in McMurdo overwinter - Do Not Deep Freeze</v>
      </c>
      <c r="E84" s="38">
        <v>60</v>
      </c>
      <c r="F84" s="38">
        <v>41</v>
      </c>
      <c r="G84" s="38">
        <v>69</v>
      </c>
      <c r="H84" s="38">
        <v>10</v>
      </c>
      <c r="I84" s="4">
        <v>982.29166666666674</v>
      </c>
      <c r="J84" s="4">
        <v>1102</v>
      </c>
      <c r="K84" s="4">
        <v>11020</v>
      </c>
      <c r="L84" s="445" t="str">
        <v>actual</v>
      </c>
      <c r="M84" s="6" t="str">
        <v>DNDF [-40C]</v>
      </c>
      <c r="N84" s="10" t="str">
        <v>Chiba</v>
      </c>
      <c r="O84" s="435">
        <v>61</v>
      </c>
      <c r="P84" s="428">
        <v>45078</v>
      </c>
      <c r="Q84" s="429" t="str">
        <v>ChibaU - CHC</v>
      </c>
      <c r="R84" s="428">
        <v>45139</v>
      </c>
      <c r="S84" s="431" t="str">
        <v>Cargo shipment by CHU</v>
      </c>
      <c r="T84" s="431" t="str">
        <v>ChibaU - CHC</v>
      </c>
      <c r="U84" s="431" t="str">
        <v>-</v>
      </c>
      <c r="V84" s="433" t="str">
        <v>ComSur</v>
      </c>
      <c r="W84" s="76" t="str">
        <v>CHC - MCM</v>
      </c>
      <c r="X84" s="433" t="str">
        <v>-</v>
      </c>
      <c r="Y84" s="435" t="str">
        <v>USAP Air</v>
      </c>
      <c r="Z84" s="434">
        <v>45597</v>
      </c>
      <c r="AA84" s="427" t="str">
        <v>-</v>
      </c>
      <c r="AB84" s="435" t="str">
        <v>LC-130</v>
      </c>
      <c r="AC84" s="409">
        <v>45621</v>
      </c>
      <c r="AD84" s="409" t="str">
        <v>Yes</v>
      </c>
      <c r="AE84" s="409" t="str">
        <v>FY25 inter</v>
      </c>
      <c r="AF84" s="409" t="str">
        <v>FY25 intra</v>
      </c>
      <c r="AG84" s="409" t="str">
        <v>S. Yoshida</v>
      </c>
      <c r="AH84" s="409">
        <v>44461</v>
      </c>
      <c r="AI84" s="409" t="str">
        <v>D. Tosi</v>
      </c>
      <c r="AJ84" s="409">
        <v>44461</v>
      </c>
      <c r="AK84" s="409" t="str">
        <v>Pallet sizes are under review. shipped in 20 and 40ft container. Container weight not included in the assumption that pallet will be taken out in CHC.</v>
      </c>
      <c r="AL84" s="9" t="str">
        <v/>
      </c>
    </row>
    <row r="85" spans="1:40" s="91" customFormat="1" ht="21" hidden="1" customHeight="1" thickBot="1">
      <c r="A85" s="53" t="str">
        <v/>
      </c>
      <c r="B85" s="53" t="str">
        <v/>
      </c>
      <c r="C85" s="54" t="str">
        <v>Chiba Totals:</v>
      </c>
      <c r="D85" s="55" t="str">
        <v/>
      </c>
      <c r="E85" s="44" t="str">
        <v/>
      </c>
      <c r="F85" s="44" t="str">
        <v/>
      </c>
      <c r="G85" s="44" t="str">
        <v>TEU=&gt;</v>
      </c>
      <c r="H85" s="56">
        <v>2.6053429184173669</v>
      </c>
      <c r="I85" s="57">
        <v>2480.286458333333</v>
      </c>
      <c r="J85" s="57" t="str">
        <v/>
      </c>
      <c r="K85" s="58">
        <v>27780</v>
      </c>
      <c r="L85" s="58" t="str">
        <v/>
      </c>
      <c r="M85" s="58" t="str">
        <v/>
      </c>
      <c r="N85" s="58" t="str">
        <v/>
      </c>
      <c r="O85" s="77" t="str">
        <v/>
      </c>
      <c r="P85" s="59" t="str">
        <v/>
      </c>
      <c r="Q85" s="77" t="str">
        <v/>
      </c>
      <c r="R85" s="60" t="str">
        <v/>
      </c>
      <c r="S85" s="59" t="str">
        <v/>
      </c>
      <c r="T85" s="60" t="str">
        <v/>
      </c>
      <c r="U85" s="60" t="str">
        <v/>
      </c>
      <c r="V85" s="59" t="str">
        <v/>
      </c>
      <c r="W85" s="60" t="str">
        <v/>
      </c>
      <c r="X85" s="60" t="str">
        <v/>
      </c>
      <c r="Y85" s="77" t="str">
        <v/>
      </c>
      <c r="Z85" s="60" t="str">
        <v/>
      </c>
      <c r="AA85" s="60" t="str">
        <v/>
      </c>
      <c r="AB85" s="77" t="str">
        <v/>
      </c>
      <c r="AC85" s="59" t="str">
        <v/>
      </c>
      <c r="AD85" s="77" t="str">
        <v/>
      </c>
      <c r="AE85" s="59" t="str">
        <v/>
      </c>
      <c r="AF85" s="59" t="str">
        <v/>
      </c>
      <c r="AG85" s="59" t="str">
        <v/>
      </c>
      <c r="AH85" s="59" t="str">
        <v/>
      </c>
      <c r="AI85" s="59" t="str">
        <v/>
      </c>
      <c r="AJ85" s="59" t="str">
        <v/>
      </c>
      <c r="AK85" s="59" t="str">
        <v/>
      </c>
      <c r="AL85" s="11" t="str">
        <v/>
      </c>
      <c r="AM85" s="11"/>
      <c r="AN85" s="11"/>
    </row>
    <row r="86" spans="1:40" s="9" customFormat="1" ht="17.100000000000001" hidden="1">
      <c r="A86" s="72">
        <v>1.2</v>
      </c>
      <c r="B86" s="48" t="str">
        <v>Fuel</v>
      </c>
      <c r="C86" s="1" t="str">
        <v>Field Season 1 Fuel</v>
      </c>
      <c r="D86" s="1" t="str">
        <v>Fuel to support FY23 field season - Base fuel</v>
      </c>
      <c r="E86" s="38" t="str">
        <v/>
      </c>
      <c r="F86" s="38" t="str">
        <v/>
      </c>
      <c r="G86" s="38" t="str">
        <v/>
      </c>
      <c r="H86" s="38">
        <v>3191</v>
      </c>
      <c r="I86" s="61">
        <v>426.57462315454006</v>
      </c>
      <c r="J86" s="61">
        <v>6.8</v>
      </c>
      <c r="K86" s="4">
        <v>21698.799999999999</v>
      </c>
      <c r="L86" s="103" t="str">
        <v>preliminary</v>
      </c>
      <c r="M86" s="40" t="str">
        <v/>
      </c>
      <c r="N86" s="10" t="str">
        <v/>
      </c>
      <c r="O86" s="435" t="str">
        <v/>
      </c>
      <c r="P86" s="428" t="str">
        <v>-</v>
      </c>
      <c r="Q86" s="429" t="str">
        <v>-</v>
      </c>
      <c r="R86" s="428" t="str">
        <v>-</v>
      </c>
      <c r="S86" s="431" t="str">
        <v>-</v>
      </c>
      <c r="T86" s="431" t="str">
        <v>-</v>
      </c>
      <c r="U86" s="431" t="str">
        <v>-</v>
      </c>
      <c r="V86" s="433" t="str">
        <v>-</v>
      </c>
      <c r="W86" s="76" t="str">
        <v>-</v>
      </c>
      <c r="X86" s="433" t="str">
        <v>-</v>
      </c>
      <c r="Y86" s="435" t="str">
        <v>-</v>
      </c>
      <c r="Z86" s="434">
        <v>44866</v>
      </c>
      <c r="AA86" s="427" t="str">
        <v>-</v>
      </c>
      <c r="AB86" s="435" t="str">
        <v>LC-130/SPoT</v>
      </c>
      <c r="AC86" s="409">
        <v>44896</v>
      </c>
      <c r="AD86" s="409" t="str">
        <v>Yes</v>
      </c>
      <c r="AE86" s="409" t="str">
        <v>FY23 inter</v>
      </c>
      <c r="AF86" s="409" t="str">
        <v>FY23 intra</v>
      </c>
      <c r="AG86" s="409" t="str">
        <v>T. Benson</v>
      </c>
      <c r="AH86" s="409">
        <v>44483</v>
      </c>
      <c r="AI86" s="409" t="str">
        <v>I. McEwen</v>
      </c>
      <c r="AJ86" s="409">
        <v>44483</v>
      </c>
      <c r="AK86" s="409" t="str">
        <v/>
      </c>
      <c r="AL86" s="9" t="str">
        <v/>
      </c>
    </row>
    <row r="87" spans="1:40" s="9" customFormat="1" ht="17.100000000000001" hidden="1">
      <c r="A87" s="72">
        <v>1.2</v>
      </c>
      <c r="B87" s="48" t="str">
        <v/>
      </c>
      <c r="C87" s="1" t="str">
        <v>Field Season 1 Fuel Contingency</v>
      </c>
      <c r="D87" s="1" t="str">
        <v>Fuel to support FY23 field season - Contingency</v>
      </c>
      <c r="E87" s="38" t="str">
        <v/>
      </c>
      <c r="F87" s="38" t="str">
        <v/>
      </c>
      <c r="G87" s="38" t="str">
        <v/>
      </c>
      <c r="H87" s="4">
        <v>452</v>
      </c>
      <c r="I87" s="61">
        <v>60.423606915027293</v>
      </c>
      <c r="J87" s="61">
        <v>6.8</v>
      </c>
      <c r="K87" s="4">
        <v>3073.6</v>
      </c>
      <c r="L87" s="103" t="str">
        <v>preliminary</v>
      </c>
      <c r="M87" s="40" t="str">
        <v/>
      </c>
      <c r="N87" s="10" t="str">
        <v/>
      </c>
      <c r="O87" s="435" t="str">
        <v/>
      </c>
      <c r="P87" s="428" t="str">
        <v>-</v>
      </c>
      <c r="Q87" s="429" t="str">
        <v>-</v>
      </c>
      <c r="R87" s="428" t="str">
        <v>-</v>
      </c>
      <c r="S87" s="431" t="str">
        <v>-</v>
      </c>
      <c r="T87" s="431" t="str">
        <v>-</v>
      </c>
      <c r="U87" s="431" t="str">
        <v>-</v>
      </c>
      <c r="V87" s="433" t="str">
        <v>-</v>
      </c>
      <c r="W87" s="76" t="str">
        <v>-</v>
      </c>
      <c r="X87" s="433" t="str">
        <v>-</v>
      </c>
      <c r="Y87" s="435" t="str">
        <v>-</v>
      </c>
      <c r="Z87" s="434">
        <v>44866</v>
      </c>
      <c r="AA87" s="427" t="str">
        <v>-</v>
      </c>
      <c r="AB87" s="435" t="str">
        <v>LC-130/SPoT</v>
      </c>
      <c r="AC87" s="409">
        <v>44896</v>
      </c>
      <c r="AD87" s="409" t="str">
        <v>Yes</v>
      </c>
      <c r="AE87" s="409" t="str">
        <v>FY23 inter</v>
      </c>
      <c r="AF87" s="409" t="str">
        <v>FY23 intra</v>
      </c>
      <c r="AG87" s="409" t="str">
        <v>T. Benson</v>
      </c>
      <c r="AH87" s="409">
        <v>44483</v>
      </c>
      <c r="AI87" s="409" t="str">
        <v>I. McEwen</v>
      </c>
      <c r="AJ87" s="409">
        <v>44483</v>
      </c>
      <c r="AK87" s="409" t="str">
        <v/>
      </c>
      <c r="AL87" s="9" t="str">
        <v/>
      </c>
    </row>
    <row r="88" spans="1:40" ht="17.100000000000001">
      <c r="A88" s="181">
        <v>1.2</v>
      </c>
      <c r="B88" s="166" t="str">
        <v/>
      </c>
      <c r="C88" s="164" t="str">
        <v>Field Season 2 Fuel</v>
      </c>
      <c r="D88" s="164" t="str">
        <v>Fuel to support FY24 field season - Base fuel, firn drilling &amp; over winter heating</v>
      </c>
      <c r="E88" s="176" t="str">
        <v/>
      </c>
      <c r="F88" s="176" t="str">
        <v/>
      </c>
      <c r="G88" s="176" t="str">
        <v/>
      </c>
      <c r="H88" s="177">
        <v>18178</v>
      </c>
      <c r="I88" s="182">
        <v>2430.0449701357657</v>
      </c>
      <c r="J88" s="182">
        <v>6.8</v>
      </c>
      <c r="K88" s="154">
        <v>123610.4</v>
      </c>
      <c r="L88" s="183" t="str">
        <v>preliminary</v>
      </c>
      <c r="M88" s="177" t="str">
        <v/>
      </c>
      <c r="N88" s="156" t="str">
        <v/>
      </c>
      <c r="O88" s="407" t="str">
        <v/>
      </c>
      <c r="P88" s="158" t="str">
        <v>-</v>
      </c>
      <c r="Q88" s="158" t="str">
        <v>-</v>
      </c>
      <c r="R88" s="158" t="str">
        <v>-</v>
      </c>
      <c r="S88" s="160" t="str">
        <v>-</v>
      </c>
      <c r="T88" s="160" t="str">
        <v>-</v>
      </c>
      <c r="U88" s="160" t="str">
        <v>-</v>
      </c>
      <c r="V88" s="162" t="str">
        <v>-</v>
      </c>
      <c r="W88" s="162" t="str">
        <v>-</v>
      </c>
      <c r="X88" s="162" t="str">
        <v>-</v>
      </c>
      <c r="Y88" s="157" t="str">
        <v>-</v>
      </c>
      <c r="Z88" s="169">
        <v>45231</v>
      </c>
      <c r="AA88" s="156" t="str">
        <v>-</v>
      </c>
      <c r="AB88" s="157" t="str">
        <v>LC-130/SPoT</v>
      </c>
      <c r="AC88" s="157">
        <v>45261</v>
      </c>
      <c r="AD88" s="163" t="str">
        <v>Yes</v>
      </c>
      <c r="AE88" s="163" t="str">
        <v>FY24 inter</v>
      </c>
      <c r="AF88" s="163" t="str">
        <v>FY24 intra</v>
      </c>
      <c r="AG88" s="157" t="str">
        <v>T. Benson</v>
      </c>
      <c r="AH88" s="157">
        <v>44483</v>
      </c>
      <c r="AI88" s="157" t="str">
        <v>I. McEwen</v>
      </c>
      <c r="AJ88" s="157">
        <v>44483</v>
      </c>
      <c r="AK88" s="163" t="str">
        <v/>
      </c>
      <c r="AL88" s="146" t="str">
        <v/>
      </c>
    </row>
    <row r="89" spans="1:40" ht="17.100000000000001">
      <c r="A89" s="181">
        <v>1.2</v>
      </c>
      <c r="B89" s="166" t="str">
        <v/>
      </c>
      <c r="C89" s="164" t="str">
        <v>Field Season 2 Fuel Contingency</v>
      </c>
      <c r="D89" s="164" t="str">
        <v>Fuel to suppport FY24 field season - Contingency</v>
      </c>
      <c r="E89" s="176" t="str">
        <v/>
      </c>
      <c r="F89" s="176" t="str">
        <v/>
      </c>
      <c r="G89" s="176" t="str">
        <v/>
      </c>
      <c r="H89" s="177">
        <v>2373</v>
      </c>
      <c r="I89" s="182">
        <v>317.22393630389331</v>
      </c>
      <c r="J89" s="182">
        <v>6.8</v>
      </c>
      <c r="K89" s="154">
        <v>16136.4</v>
      </c>
      <c r="L89" s="183" t="str">
        <v>preliminary</v>
      </c>
      <c r="M89" s="177" t="str">
        <v/>
      </c>
      <c r="N89" s="156" t="str">
        <v/>
      </c>
      <c r="O89" s="407" t="str">
        <v/>
      </c>
      <c r="P89" s="158" t="str">
        <v>-</v>
      </c>
      <c r="Q89" s="158" t="str">
        <v>-</v>
      </c>
      <c r="R89" s="158" t="str">
        <v>-</v>
      </c>
      <c r="S89" s="160" t="str">
        <v>-</v>
      </c>
      <c r="T89" s="160" t="str">
        <v>-</v>
      </c>
      <c r="U89" s="160" t="str">
        <v>-</v>
      </c>
      <c r="V89" s="162" t="str">
        <v>-</v>
      </c>
      <c r="W89" s="162" t="str">
        <v>-</v>
      </c>
      <c r="X89" s="162" t="str">
        <v>-</v>
      </c>
      <c r="Y89" s="157" t="str">
        <v>-</v>
      </c>
      <c r="Z89" s="169">
        <v>45231</v>
      </c>
      <c r="AA89" s="156" t="str">
        <v>-</v>
      </c>
      <c r="AB89" s="157" t="str">
        <v>LC-130/SPoT</v>
      </c>
      <c r="AC89" s="157">
        <v>45261</v>
      </c>
      <c r="AD89" s="163" t="str">
        <v>Yes</v>
      </c>
      <c r="AE89" s="163" t="str">
        <v>FY24 inter</v>
      </c>
      <c r="AF89" s="163" t="str">
        <v>FY24 intra</v>
      </c>
      <c r="AG89" s="157" t="str">
        <v>T. Benson</v>
      </c>
      <c r="AH89" s="157">
        <v>44483</v>
      </c>
      <c r="AI89" s="157" t="str">
        <v>I. McEwen</v>
      </c>
      <c r="AJ89" s="157">
        <v>44483</v>
      </c>
      <c r="AK89" s="163" t="str">
        <v/>
      </c>
      <c r="AL89" s="146" t="str">
        <v/>
      </c>
    </row>
    <row r="90" spans="1:40" s="9" customFormat="1" ht="23.1" hidden="1" customHeight="1" thickTop="1">
      <c r="A90" s="25">
        <v>1.2</v>
      </c>
      <c r="B90" s="25" t="str">
        <v/>
      </c>
      <c r="C90" s="3" t="str">
        <v>Field Season 3 Fuel</v>
      </c>
      <c r="D90" s="42" t="str">
        <v>Fuel to support FY25 field season - Base fuel &amp; deep drilling</v>
      </c>
      <c r="E90" s="43" t="str">
        <v/>
      </c>
      <c r="F90" s="43" t="str">
        <v/>
      </c>
      <c r="G90" s="44" t="str">
        <v/>
      </c>
      <c r="H90" s="45">
        <v>62694</v>
      </c>
      <c r="I90" s="46">
        <v>8380.9681679883215</v>
      </c>
      <c r="J90" s="46">
        <v>6.8</v>
      </c>
      <c r="K90" s="46">
        <v>426319.2</v>
      </c>
      <c r="L90" s="104" t="str">
        <v>preliminary</v>
      </c>
      <c r="M90" s="46" t="str">
        <v/>
      </c>
      <c r="N90" s="427" t="str">
        <v/>
      </c>
      <c r="O90" s="435" t="str">
        <v/>
      </c>
      <c r="P90" s="427" t="str">
        <v>-</v>
      </c>
      <c r="Q90" s="435" t="str">
        <v>-</v>
      </c>
      <c r="R90" s="427" t="str">
        <v>-</v>
      </c>
      <c r="S90" s="427" t="str">
        <v>-</v>
      </c>
      <c r="T90" s="427" t="str">
        <v>-</v>
      </c>
      <c r="U90" s="427" t="str">
        <v>-</v>
      </c>
      <c r="V90" s="427" t="str">
        <v>-</v>
      </c>
      <c r="W90" s="427" t="str">
        <v>-</v>
      </c>
      <c r="X90" s="427" t="str">
        <v>-</v>
      </c>
      <c r="Y90" s="435" t="str">
        <v>-</v>
      </c>
      <c r="Z90" s="434">
        <v>45597</v>
      </c>
      <c r="AA90" s="427" t="str">
        <v>-</v>
      </c>
      <c r="AB90" s="435" t="str">
        <v>LC-130/SPoT</v>
      </c>
      <c r="AC90" s="427">
        <v>45627</v>
      </c>
      <c r="AD90" s="427" t="str">
        <v>Yes</v>
      </c>
      <c r="AE90" s="427" t="str">
        <v>FY25 inter</v>
      </c>
      <c r="AF90" s="427" t="str">
        <v>FY25 intra</v>
      </c>
      <c r="AG90" s="427" t="str">
        <v>T. Benson</v>
      </c>
      <c r="AH90" s="427">
        <v>44483</v>
      </c>
      <c r="AI90" s="427" t="str">
        <v>I. McEwen</v>
      </c>
      <c r="AJ90" s="427">
        <v>44483</v>
      </c>
      <c r="AK90" s="427" t="str">
        <v/>
      </c>
      <c r="AL90" s="9" t="str">
        <v/>
      </c>
    </row>
    <row r="91" spans="1:40" s="9" customFormat="1" ht="17.100000000000001" hidden="1" thickTop="1">
      <c r="A91" s="2">
        <v>1.2</v>
      </c>
      <c r="B91" s="2" t="str">
        <v/>
      </c>
      <c r="C91" s="15" t="str">
        <v>Field Season 3 Fuel Contingency</v>
      </c>
      <c r="D91" s="15" t="str">
        <v>Fuel to suppport FY25 field season - Contingency</v>
      </c>
      <c r="E91" s="9" t="str">
        <v/>
      </c>
      <c r="F91" s="9" t="str">
        <v/>
      </c>
      <c r="G91" s="9" t="str">
        <v/>
      </c>
      <c r="H91" s="9">
        <v>8473</v>
      </c>
      <c r="I91" s="9">
        <v>1132.6752685642175</v>
      </c>
      <c r="J91" s="9">
        <v>6.8</v>
      </c>
      <c r="K91" s="9">
        <v>57616.4</v>
      </c>
      <c r="L91" s="74" t="str">
        <v>preliminary</v>
      </c>
      <c r="M91" s="9" t="str">
        <v/>
      </c>
      <c r="N91" s="9" t="str">
        <v/>
      </c>
      <c r="O91" s="80" t="str">
        <v/>
      </c>
      <c r="P91" s="9" t="str">
        <v>-</v>
      </c>
      <c r="Q91" s="80" t="str">
        <v>-</v>
      </c>
      <c r="R91" s="9" t="str">
        <v>-</v>
      </c>
      <c r="S91" s="9" t="str">
        <v>-</v>
      </c>
      <c r="T91" s="9" t="str">
        <v>-</v>
      </c>
      <c r="U91" s="9" t="str">
        <v>-</v>
      </c>
      <c r="V91" s="9" t="str">
        <v>-</v>
      </c>
      <c r="W91" s="9" t="str">
        <v>-</v>
      </c>
      <c r="X91" s="9" t="str">
        <v>-</v>
      </c>
      <c r="Y91" s="80" t="str">
        <v>-</v>
      </c>
      <c r="Z91" s="9">
        <v>45597</v>
      </c>
      <c r="AA91" s="9" t="str">
        <v>-</v>
      </c>
      <c r="AB91" s="80" t="str">
        <v>LC-130/SPoT</v>
      </c>
      <c r="AC91" s="9">
        <v>45627</v>
      </c>
      <c r="AD91" s="9" t="str">
        <v>Yes</v>
      </c>
      <c r="AE91" s="9" t="str">
        <v>FY25 inter</v>
      </c>
      <c r="AF91" s="9" t="str">
        <v>FY25 intra</v>
      </c>
      <c r="AG91" s="9" t="str">
        <v>T. Benson</v>
      </c>
      <c r="AH91" s="9">
        <v>44483</v>
      </c>
      <c r="AI91" s="9" t="str">
        <v>I. McEwen</v>
      </c>
      <c r="AJ91" s="9">
        <v>44483</v>
      </c>
      <c r="AK91" s="9" t="str">
        <v/>
      </c>
      <c r="AL91" s="9" t="str">
        <v/>
      </c>
    </row>
    <row r="92" spans="1:40" s="9" customFormat="1" ht="17.100000000000001" hidden="1" thickTop="1">
      <c r="A92" s="9" t="str">
        <v/>
      </c>
      <c r="B92" s="9" t="str">
        <v/>
      </c>
      <c r="C92" s="16" t="str">
        <v>Fuel Totals:</v>
      </c>
      <c r="D92" s="16" t="str">
        <v/>
      </c>
      <c r="E92" s="9" t="str">
        <v/>
      </c>
      <c r="F92" s="9" t="str">
        <v/>
      </c>
      <c r="G92" s="9" t="str">
        <v>TEU=&gt;</v>
      </c>
      <c r="H92" s="9">
        <v>13.39066236666152</v>
      </c>
      <c r="I92" s="9">
        <v>12747.910573061765</v>
      </c>
      <c r="J92" s="9" t="str">
        <v/>
      </c>
      <c r="K92" s="9">
        <v>648454.80000000005</v>
      </c>
      <c r="L92" s="74" t="str">
        <v/>
      </c>
      <c r="M92" s="9" t="str">
        <v/>
      </c>
      <c r="N92" s="9" t="str">
        <v/>
      </c>
      <c r="O92" s="80" t="str">
        <v/>
      </c>
      <c r="P92" s="9" t="str">
        <v/>
      </c>
      <c r="Q92" s="80" t="str">
        <v/>
      </c>
      <c r="R92" s="9" t="str">
        <v/>
      </c>
      <c r="S92" s="9" t="str">
        <v/>
      </c>
      <c r="T92" s="9" t="str">
        <v/>
      </c>
      <c r="U92" s="9" t="str">
        <v/>
      </c>
      <c r="V92" s="9" t="str">
        <v/>
      </c>
      <c r="W92" s="9" t="str">
        <v/>
      </c>
      <c r="X92" s="9" t="str">
        <v/>
      </c>
      <c r="Y92" s="80" t="str">
        <v/>
      </c>
      <c r="Z92" s="9" t="str">
        <v/>
      </c>
      <c r="AA92" s="9" t="str">
        <v/>
      </c>
      <c r="AB92" s="80" t="str">
        <v/>
      </c>
      <c r="AC92" s="9" t="str">
        <v/>
      </c>
      <c r="AD92" s="9" t="str">
        <v/>
      </c>
      <c r="AE92" s="9" t="str">
        <v/>
      </c>
      <c r="AF92" s="9" t="str">
        <v/>
      </c>
      <c r="AG92" s="9" t="str">
        <v/>
      </c>
      <c r="AH92" s="9" t="str">
        <v/>
      </c>
      <c r="AI92" s="9" t="str">
        <v/>
      </c>
      <c r="AJ92" s="9" t="str">
        <v/>
      </c>
      <c r="AK92" s="9" t="str">
        <v/>
      </c>
      <c r="AL92" s="9" t="str">
        <v/>
      </c>
    </row>
    <row r="93" spans="1:40" s="9" customFormat="1" ht="17.100000000000001" hidden="1" thickTop="1">
      <c r="A93" s="9" t="str">
        <v/>
      </c>
      <c r="B93" s="9" t="str">
        <v/>
      </c>
      <c r="C93" s="16" t="str">
        <v/>
      </c>
      <c r="D93" s="16" t="str">
        <v>All IC/Upgrade cargo volume:</v>
      </c>
      <c r="E93" s="9" t="str">
        <v/>
      </c>
      <c r="F93" s="9" t="str">
        <v/>
      </c>
      <c r="G93" s="9" t="str">
        <v>TEU=&gt;</v>
      </c>
      <c r="H93" s="9">
        <v>55.403011794279799</v>
      </c>
      <c r="I93" s="9">
        <v>52743.667228154365</v>
      </c>
      <c r="J93" s="9" t="str">
        <v/>
      </c>
      <c r="K93" s="9">
        <v>1165246.8</v>
      </c>
      <c r="L93" s="74" t="str">
        <v/>
      </c>
      <c r="M93" s="9" t="str">
        <v/>
      </c>
      <c r="N93" s="9" t="str">
        <v/>
      </c>
      <c r="O93" s="80" t="str">
        <v/>
      </c>
      <c r="P93" s="9" t="str">
        <v/>
      </c>
      <c r="Q93" s="80" t="str">
        <v/>
      </c>
      <c r="R93" s="9" t="str">
        <v/>
      </c>
      <c r="S93" s="9" t="str">
        <v/>
      </c>
      <c r="T93" s="9" t="str">
        <v/>
      </c>
      <c r="U93" s="9" t="str">
        <v/>
      </c>
      <c r="V93" s="9" t="str">
        <v/>
      </c>
      <c r="W93" s="9" t="str">
        <v/>
      </c>
      <c r="X93" s="9" t="str">
        <v/>
      </c>
      <c r="Y93" s="80" t="str">
        <v/>
      </c>
      <c r="Z93" s="9" t="str">
        <v/>
      </c>
      <c r="AA93" s="9" t="str">
        <v/>
      </c>
      <c r="AB93" s="80" t="str">
        <v/>
      </c>
      <c r="AC93" s="9" t="str">
        <v/>
      </c>
      <c r="AD93" s="9" t="str">
        <v/>
      </c>
      <c r="AE93" s="9" t="str">
        <v/>
      </c>
      <c r="AF93" s="9" t="str">
        <v/>
      </c>
      <c r="AG93" s="9" t="str">
        <v/>
      </c>
      <c r="AH93" s="9" t="str">
        <v/>
      </c>
      <c r="AI93" s="9" t="str">
        <v/>
      </c>
      <c r="AJ93" s="9" t="str">
        <v/>
      </c>
      <c r="AK93" s="9" t="str">
        <v/>
      </c>
      <c r="AL93" s="9" t="str">
        <v/>
      </c>
    </row>
    <row r="94" spans="1:40">
      <c r="C94" s="184"/>
      <c r="D94" s="184"/>
      <c r="Z94" s="186"/>
    </row>
    <row r="95" spans="1:40">
      <c r="C95" s="184"/>
      <c r="D95" s="184"/>
      <c r="Z95" s="186"/>
    </row>
    <row r="96" spans="1:40">
      <c r="C96" s="184"/>
      <c r="D96" s="184"/>
      <c r="Z96" s="186"/>
    </row>
    <row r="97" spans="1:26">
      <c r="C97" s="184"/>
      <c r="D97" s="184"/>
      <c r="Z97" s="186"/>
    </row>
    <row r="98" spans="1:26">
      <c r="C98" s="184"/>
      <c r="D98" s="184"/>
      <c r="Z98" s="186"/>
    </row>
    <row r="99" spans="1:26">
      <c r="C99" s="184"/>
      <c r="D99" s="184"/>
      <c r="Z99" s="186"/>
    </row>
    <row r="100" spans="1:26">
      <c r="C100" s="184"/>
      <c r="D100" s="184"/>
      <c r="Z100" s="186"/>
    </row>
    <row r="101" spans="1:26">
      <c r="C101" s="184"/>
      <c r="D101" s="184"/>
      <c r="Z101" s="186"/>
    </row>
    <row r="102" spans="1:26">
      <c r="A102" s="187"/>
      <c r="B102" s="187"/>
      <c r="C102" s="184"/>
      <c r="D102" s="184"/>
      <c r="I102" s="188"/>
      <c r="J102" s="188"/>
      <c r="K102" s="188"/>
      <c r="L102" s="189"/>
      <c r="Z102" s="186"/>
    </row>
    <row r="103" spans="1:26">
      <c r="A103" s="187"/>
      <c r="B103" s="187"/>
      <c r="C103" s="184"/>
      <c r="D103" s="184"/>
      <c r="Z103" s="186"/>
    </row>
    <row r="104" spans="1:26">
      <c r="Z104" s="186"/>
    </row>
    <row r="105" spans="1:26">
      <c r="C105" s="184"/>
      <c r="D105" s="184"/>
      <c r="Z105" s="186"/>
    </row>
    <row r="106" spans="1:26">
      <c r="C106" s="184"/>
      <c r="D106" s="184"/>
      <c r="Z106" s="186"/>
    </row>
    <row r="107" spans="1:26">
      <c r="C107" s="184"/>
      <c r="D107" s="184"/>
      <c r="Z107" s="186"/>
    </row>
    <row r="108" spans="1:26">
      <c r="Z108" s="186"/>
    </row>
    <row r="109" spans="1:26">
      <c r="C109" s="184"/>
      <c r="D109" s="184"/>
      <c r="Z109" s="186"/>
    </row>
    <row r="110" spans="1:26">
      <c r="C110" s="184"/>
      <c r="D110" s="184"/>
      <c r="Z110" s="186"/>
    </row>
    <row r="111" spans="1:26">
      <c r="Z111" s="186"/>
    </row>
    <row r="112" spans="1:26">
      <c r="L112" s="191"/>
      <c r="Z112" s="186"/>
    </row>
    <row r="113" spans="1:26">
      <c r="D113" s="192"/>
      <c r="Z113" s="186"/>
    </row>
    <row r="114" spans="1:26" ht="15.95" thickBot="1">
      <c r="D114" s="192"/>
      <c r="Z114" s="186"/>
    </row>
    <row r="115" spans="1:26" ht="15.95" customHeight="1">
      <c r="A115" s="420"/>
      <c r="B115" s="421"/>
      <c r="C115" s="193" t="s">
        <v>475</v>
      </c>
      <c r="D115" s="194" t="s">
        <v>476</v>
      </c>
      <c r="Z115" s="186"/>
    </row>
    <row r="116" spans="1:26" ht="32.1" customHeight="1">
      <c r="A116" s="422" t="s">
        <v>477</v>
      </c>
      <c r="B116" s="423"/>
      <c r="C116" s="84">
        <f>SUBTOTAL(9,I2:I100)</f>
        <v>11847.210457365582</v>
      </c>
      <c r="D116" s="85">
        <f>SUBTOTAL(9,K2:K100)</f>
        <v>319116.80000000005</v>
      </c>
      <c r="E116" s="196"/>
      <c r="Z116" s="186"/>
    </row>
    <row r="117" spans="1:26" ht="33" customHeight="1" thickBot="1">
      <c r="A117" s="424" t="s">
        <v>478</v>
      </c>
      <c r="B117" s="425"/>
      <c r="C117" s="86">
        <f>SUMIFS(volume,mcMurdo_date,"&gt;="&amp;$A$120,mcMurdo_date,"&lt;="&amp;$B$120)</f>
        <v>11847.210457365582</v>
      </c>
      <c r="D117" s="87">
        <f>SUMIFS(weight_,mcMurdo_date,"&gt;="&amp;A$120,mcMurdo_date,"&lt;="&amp;$B$120)</f>
        <v>319116.80000000005</v>
      </c>
      <c r="J117" s="196"/>
      <c r="U117" s="196"/>
      <c r="Z117" s="186"/>
    </row>
    <row r="118" spans="1:26" ht="15.95" thickBot="1">
      <c r="D118" s="192"/>
      <c r="Z118" s="186"/>
    </row>
    <row r="119" spans="1:26" ht="15.95">
      <c r="A119" s="199" t="s">
        <v>479</v>
      </c>
      <c r="B119" s="193" t="s">
        <v>480</v>
      </c>
      <c r="C119" s="193"/>
      <c r="D119" s="194"/>
      <c r="Z119" s="186"/>
    </row>
    <row r="120" spans="1:26">
      <c r="A120" s="200">
        <f>'ICU_cargo MASTER INPUT SHEET'!A129</f>
        <v>45231</v>
      </c>
      <c r="B120" s="201">
        <f>'ICU_cargo MASTER INPUT SHEET'!B129</f>
        <v>45337</v>
      </c>
      <c r="D120" s="195"/>
      <c r="Z120" s="186"/>
    </row>
    <row r="121" spans="1:26" ht="15.95" thickBot="1">
      <c r="A121" s="424"/>
      <c r="B121" s="425"/>
      <c r="C121" s="197"/>
      <c r="D121" s="198"/>
      <c r="Z121" s="186"/>
    </row>
    <row r="122" spans="1:26">
      <c r="Z122" s="186"/>
    </row>
    <row r="123" spans="1:26">
      <c r="Z123" s="186"/>
    </row>
    <row r="124" spans="1:26" ht="15.95">
      <c r="A124" s="202"/>
      <c r="B124" s="202"/>
      <c r="C124" s="203"/>
      <c r="D124" s="203"/>
      <c r="Z124" s="186"/>
    </row>
    <row r="125" spans="1:26" ht="15.95">
      <c r="A125" s="202"/>
      <c r="B125" s="202"/>
      <c r="C125" s="203"/>
      <c r="D125" s="203"/>
      <c r="Z125" s="186"/>
    </row>
    <row r="126" spans="1:26" ht="15.95">
      <c r="A126" s="202"/>
      <c r="B126" s="202"/>
      <c r="C126" s="203"/>
      <c r="D126" s="203"/>
      <c r="Z126" s="186"/>
    </row>
    <row r="127" spans="1:26" ht="15.95">
      <c r="A127" s="202"/>
      <c r="B127" s="202"/>
      <c r="C127" s="203"/>
      <c r="D127" s="203"/>
      <c r="Z127" s="186"/>
    </row>
    <row r="128" spans="1:26">
      <c r="Z128" s="186"/>
    </row>
    <row r="129" spans="26:26">
      <c r="Z129" s="186"/>
    </row>
    <row r="130" spans="26:26">
      <c r="Z130" s="186"/>
    </row>
    <row r="131" spans="26:26">
      <c r="Z131" s="186"/>
    </row>
    <row r="132" spans="26:26">
      <c r="Z132" s="186"/>
    </row>
    <row r="133" spans="26:26">
      <c r="Z133" s="186"/>
    </row>
    <row r="134" spans="26:26">
      <c r="Z134" s="186"/>
    </row>
    <row r="135" spans="26:26">
      <c r="Z135" s="186"/>
    </row>
    <row r="136" spans="26:26">
      <c r="Z136" s="186"/>
    </row>
    <row r="137" spans="26:26">
      <c r="Z137" s="186"/>
    </row>
    <row r="138" spans="26:26">
      <c r="Z138" s="186"/>
    </row>
    <row r="139" spans="26:26">
      <c r="Z139" s="186"/>
    </row>
    <row r="140" spans="26:26">
      <c r="Z140" s="186"/>
    </row>
    <row r="141" spans="26:26">
      <c r="Z141" s="186"/>
    </row>
    <row r="142" spans="26:26">
      <c r="Z142" s="186"/>
    </row>
    <row r="143" spans="26:26">
      <c r="Z143" s="186"/>
    </row>
    <row r="144" spans="26:26">
      <c r="Z144" s="186"/>
    </row>
    <row r="145" spans="26:26">
      <c r="Z145" s="186"/>
    </row>
    <row r="146" spans="26:26">
      <c r="Z146" s="186"/>
    </row>
    <row r="147" spans="26:26">
      <c r="Z147" s="186"/>
    </row>
    <row r="148" spans="26:26">
      <c r="Z148" s="186"/>
    </row>
    <row r="149" spans="26:26">
      <c r="Z149" s="186"/>
    </row>
    <row r="150" spans="26:26">
      <c r="Z150" s="186"/>
    </row>
    <row r="151" spans="26:26">
      <c r="Z151" s="186"/>
    </row>
    <row r="152" spans="26:26">
      <c r="Z152" s="186"/>
    </row>
    <row r="153" spans="26:26">
      <c r="Z153" s="186"/>
    </row>
    <row r="154" spans="26:26">
      <c r="Z154" s="186"/>
    </row>
    <row r="155" spans="26:26">
      <c r="Z155" s="186"/>
    </row>
    <row r="156" spans="26:26">
      <c r="Z156" s="186"/>
    </row>
    <row r="157" spans="26:26">
      <c r="Z157" s="186"/>
    </row>
    <row r="158" spans="26:26">
      <c r="Z158" s="186"/>
    </row>
    <row r="159" spans="26:26">
      <c r="Z159" s="186"/>
    </row>
    <row r="160" spans="26:26">
      <c r="Z160" s="186"/>
    </row>
    <row r="161" spans="26:26">
      <c r="Z161" s="186"/>
    </row>
    <row r="162" spans="26:26">
      <c r="Z162" s="186"/>
    </row>
    <row r="163" spans="26:26">
      <c r="Z163" s="186"/>
    </row>
    <row r="164" spans="26:26">
      <c r="Z164" s="186"/>
    </row>
    <row r="165" spans="26:26">
      <c r="Z165" s="186"/>
    </row>
    <row r="166" spans="26:26">
      <c r="Z166" s="186"/>
    </row>
    <row r="167" spans="26:26">
      <c r="Z167" s="186"/>
    </row>
    <row r="168" spans="26:26">
      <c r="Z168" s="186"/>
    </row>
    <row r="169" spans="26:26">
      <c r="Z169" s="186"/>
    </row>
    <row r="170" spans="26:26">
      <c r="Z170" s="186"/>
    </row>
    <row r="171" spans="26:26">
      <c r="Z171" s="186"/>
    </row>
    <row r="172" spans="26:26">
      <c r="Z172" s="186"/>
    </row>
    <row r="173" spans="26:26">
      <c r="Z173" s="186"/>
    </row>
    <row r="174" spans="26:26">
      <c r="Z174" s="186"/>
    </row>
    <row r="175" spans="26:26">
      <c r="Z175" s="186"/>
    </row>
    <row r="176" spans="26:26">
      <c r="Z176" s="186"/>
    </row>
    <row r="177" spans="26:26">
      <c r="Z177" s="186"/>
    </row>
    <row r="178" spans="26:26">
      <c r="Z178" s="186"/>
    </row>
    <row r="179" spans="26:26">
      <c r="Z179" s="186"/>
    </row>
    <row r="180" spans="26:26">
      <c r="Z180" s="186"/>
    </row>
    <row r="181" spans="26:26">
      <c r="Z181" s="186"/>
    </row>
    <row r="182" spans="26:26">
      <c r="Z182" s="186"/>
    </row>
    <row r="183" spans="26:26">
      <c r="Z183" s="186"/>
    </row>
    <row r="184" spans="26:26">
      <c r="Z184" s="186"/>
    </row>
    <row r="185" spans="26:26">
      <c r="Z185" s="186"/>
    </row>
    <row r="186" spans="26:26">
      <c r="Z186" s="186"/>
    </row>
    <row r="187" spans="26:26">
      <c r="Z187" s="186"/>
    </row>
    <row r="188" spans="26:26">
      <c r="Z188" s="186"/>
    </row>
    <row r="189" spans="26:26">
      <c r="Z189" s="186"/>
    </row>
    <row r="190" spans="26:26">
      <c r="Z190" s="186"/>
    </row>
    <row r="191" spans="26:26">
      <c r="Z191" s="186"/>
    </row>
    <row r="192" spans="26:26">
      <c r="Z192" s="186"/>
    </row>
    <row r="193" spans="26:26">
      <c r="Z193" s="186"/>
    </row>
    <row r="194" spans="26:26">
      <c r="Z194" s="186"/>
    </row>
    <row r="195" spans="26:26">
      <c r="Z195" s="186"/>
    </row>
    <row r="196" spans="26:26">
      <c r="Z196" s="186"/>
    </row>
    <row r="197" spans="26:26">
      <c r="Z197" s="186"/>
    </row>
    <row r="198" spans="26:26">
      <c r="Z198" s="186"/>
    </row>
    <row r="199" spans="26:26">
      <c r="Z199" s="186"/>
    </row>
    <row r="200" spans="26:26">
      <c r="Z200" s="186"/>
    </row>
    <row r="201" spans="26:26">
      <c r="Z201" s="186"/>
    </row>
    <row r="202" spans="26:26">
      <c r="Z202" s="186"/>
    </row>
    <row r="203" spans="26:26">
      <c r="Z203" s="186"/>
    </row>
    <row r="204" spans="26:26">
      <c r="Z204" s="186"/>
    </row>
    <row r="205" spans="26:26">
      <c r="Z205" s="186"/>
    </row>
    <row r="206" spans="26:26">
      <c r="Z206" s="186"/>
    </row>
    <row r="207" spans="26:26">
      <c r="Z207" s="186"/>
    </row>
    <row r="208" spans="26:26">
      <c r="Z208" s="186"/>
    </row>
    <row r="209" spans="26:26">
      <c r="Z209" s="186"/>
    </row>
    <row r="210" spans="26:26">
      <c r="Z210" s="186"/>
    </row>
    <row r="211" spans="26:26">
      <c r="Z211" s="186"/>
    </row>
    <row r="212" spans="26:26">
      <c r="Z212" s="186"/>
    </row>
    <row r="213" spans="26:26">
      <c r="Z213" s="186"/>
    </row>
    <row r="214" spans="26:26">
      <c r="Z214" s="186"/>
    </row>
    <row r="215" spans="26:26">
      <c r="Z215" s="186"/>
    </row>
    <row r="216" spans="26:26">
      <c r="Z216" s="186"/>
    </row>
    <row r="217" spans="26:26">
      <c r="Z217" s="186"/>
    </row>
    <row r="218" spans="26:26">
      <c r="Z218" s="186"/>
    </row>
    <row r="219" spans="26:26">
      <c r="Z219" s="186"/>
    </row>
    <row r="220" spans="26:26">
      <c r="Z220" s="186"/>
    </row>
    <row r="221" spans="26:26">
      <c r="Z221" s="186"/>
    </row>
    <row r="222" spans="26:26">
      <c r="Z222" s="186"/>
    </row>
    <row r="223" spans="26:26">
      <c r="Z223" s="186"/>
    </row>
    <row r="224" spans="26:26">
      <c r="Z224" s="186"/>
    </row>
    <row r="225" spans="26:26">
      <c r="Z225" s="186"/>
    </row>
    <row r="226" spans="26:26">
      <c r="Z226" s="186"/>
    </row>
    <row r="227" spans="26:26">
      <c r="Z227" s="186"/>
    </row>
    <row r="228" spans="26:26">
      <c r="Z228" s="186"/>
    </row>
    <row r="229" spans="26:26">
      <c r="Z229" s="186"/>
    </row>
    <row r="230" spans="26:26">
      <c r="Z230" s="186"/>
    </row>
    <row r="231" spans="26:26">
      <c r="Z231" s="186"/>
    </row>
    <row r="232" spans="26:26">
      <c r="Z232" s="186"/>
    </row>
    <row r="233" spans="26:26">
      <c r="Z233" s="186"/>
    </row>
    <row r="234" spans="26:26">
      <c r="Z234" s="186"/>
    </row>
    <row r="235" spans="26:26">
      <c r="Z235" s="186"/>
    </row>
    <row r="236" spans="26:26">
      <c r="Z236" s="186"/>
    </row>
    <row r="237" spans="26:26">
      <c r="Z237" s="186"/>
    </row>
    <row r="238" spans="26:26">
      <c r="Z238" s="186"/>
    </row>
    <row r="239" spans="26:26">
      <c r="Z239" s="186"/>
    </row>
    <row r="240" spans="26:26">
      <c r="Z240" s="186"/>
    </row>
    <row r="241" spans="26:26">
      <c r="Z241" s="186"/>
    </row>
    <row r="242" spans="26:26">
      <c r="Z242" s="186"/>
    </row>
    <row r="243" spans="26:26">
      <c r="Z243" s="186"/>
    </row>
    <row r="244" spans="26:26">
      <c r="Z244" s="186"/>
    </row>
    <row r="245" spans="26:26">
      <c r="Z245" s="186"/>
    </row>
    <row r="246" spans="26:26">
      <c r="Z246" s="186"/>
    </row>
    <row r="247" spans="26:26">
      <c r="Z247" s="186"/>
    </row>
    <row r="248" spans="26:26">
      <c r="Z248" s="186"/>
    </row>
    <row r="249" spans="26:26">
      <c r="Z249" s="186"/>
    </row>
    <row r="250" spans="26:26">
      <c r="Z250" s="186"/>
    </row>
    <row r="251" spans="26:26">
      <c r="Z251" s="186"/>
    </row>
    <row r="252" spans="26:26">
      <c r="Z252" s="186"/>
    </row>
    <row r="253" spans="26:26">
      <c r="Z253" s="186"/>
    </row>
    <row r="254" spans="26:26">
      <c r="Z254" s="186"/>
    </row>
    <row r="255" spans="26:26">
      <c r="Z255" s="186"/>
    </row>
    <row r="256" spans="26:26">
      <c r="Z256" s="186"/>
    </row>
    <row r="257" spans="26:26">
      <c r="Z257" s="186"/>
    </row>
    <row r="258" spans="26:26">
      <c r="Z258" s="186"/>
    </row>
    <row r="259" spans="26:26">
      <c r="Z259" s="186"/>
    </row>
    <row r="260" spans="26:26">
      <c r="Z260" s="186"/>
    </row>
    <row r="261" spans="26:26">
      <c r="Z261" s="186"/>
    </row>
    <row r="262" spans="26:26">
      <c r="Z262" s="186"/>
    </row>
    <row r="263" spans="26:26">
      <c r="Z263" s="186"/>
    </row>
    <row r="264" spans="26:26">
      <c r="Z264" s="186"/>
    </row>
    <row r="265" spans="26:26">
      <c r="Z265" s="186"/>
    </row>
    <row r="266" spans="26:26">
      <c r="Z266" s="186"/>
    </row>
    <row r="267" spans="26:26">
      <c r="Z267" s="186"/>
    </row>
    <row r="268" spans="26:26">
      <c r="Z268" s="186"/>
    </row>
    <row r="269" spans="26:26">
      <c r="Z269" s="186"/>
    </row>
    <row r="270" spans="26:26">
      <c r="Z270" s="186"/>
    </row>
    <row r="271" spans="26:26">
      <c r="Z271" s="186"/>
    </row>
    <row r="272" spans="26:26">
      <c r="Z272" s="186"/>
    </row>
    <row r="273" spans="26:26">
      <c r="Z273" s="186"/>
    </row>
    <row r="274" spans="26:26">
      <c r="Z274" s="186"/>
    </row>
    <row r="275" spans="26:26">
      <c r="Z275" s="186"/>
    </row>
    <row r="276" spans="26:26">
      <c r="Z276" s="186"/>
    </row>
    <row r="277" spans="26:26">
      <c r="Z277" s="186"/>
    </row>
    <row r="278" spans="26:26">
      <c r="Z278" s="186"/>
    </row>
    <row r="279" spans="26:26">
      <c r="Z279" s="186"/>
    </row>
    <row r="280" spans="26:26">
      <c r="Z280" s="186"/>
    </row>
    <row r="281" spans="26:26">
      <c r="Z281" s="186"/>
    </row>
    <row r="282" spans="26:26">
      <c r="Z282" s="186"/>
    </row>
    <row r="283" spans="26:26">
      <c r="Z283" s="186"/>
    </row>
    <row r="284" spans="26:26">
      <c r="Z284" s="186"/>
    </row>
    <row r="285" spans="26:26">
      <c r="Z285" s="186"/>
    </row>
    <row r="286" spans="26:26">
      <c r="Z286" s="186"/>
    </row>
    <row r="287" spans="26:26">
      <c r="Z287" s="186"/>
    </row>
    <row r="288" spans="26:26">
      <c r="Z288" s="186"/>
    </row>
    <row r="289" spans="26:26">
      <c r="Z289" s="186"/>
    </row>
    <row r="290" spans="26:26">
      <c r="Z290" s="186"/>
    </row>
    <row r="291" spans="26:26">
      <c r="Z291" s="186"/>
    </row>
    <row r="292" spans="26:26">
      <c r="Z292" s="186"/>
    </row>
    <row r="293" spans="26:26">
      <c r="Z293" s="186"/>
    </row>
    <row r="294" spans="26:26">
      <c r="Z294" s="186"/>
    </row>
    <row r="295" spans="26:26">
      <c r="Z295" s="186"/>
    </row>
    <row r="296" spans="26:26">
      <c r="Z296" s="186"/>
    </row>
    <row r="297" spans="26:26">
      <c r="Z297" s="186"/>
    </row>
    <row r="298" spans="26:26">
      <c r="Z298" s="186"/>
    </row>
    <row r="299" spans="26:26">
      <c r="Z299" s="186"/>
    </row>
    <row r="300" spans="26:26">
      <c r="Z300" s="186"/>
    </row>
    <row r="301" spans="26:26">
      <c r="Z301" s="186"/>
    </row>
    <row r="302" spans="26:26">
      <c r="Z302" s="186"/>
    </row>
    <row r="303" spans="26:26">
      <c r="Z303" s="186"/>
    </row>
    <row r="304" spans="26:26">
      <c r="Z304" s="186"/>
    </row>
    <row r="305" spans="26:26">
      <c r="Z305" s="186"/>
    </row>
    <row r="306" spans="26:26">
      <c r="Z306" s="186"/>
    </row>
    <row r="307" spans="26:26">
      <c r="Z307" s="186"/>
    </row>
    <row r="308" spans="26:26">
      <c r="Z308" s="186"/>
    </row>
    <row r="309" spans="26:26">
      <c r="Z309" s="186"/>
    </row>
    <row r="310" spans="26:26">
      <c r="Z310" s="186"/>
    </row>
    <row r="311" spans="26:26">
      <c r="Z311" s="186"/>
    </row>
    <row r="312" spans="26:26">
      <c r="Z312" s="186"/>
    </row>
    <row r="313" spans="26:26">
      <c r="Z313" s="186"/>
    </row>
    <row r="314" spans="26:26">
      <c r="Z314" s="186"/>
    </row>
    <row r="315" spans="26:26">
      <c r="Z315" s="186"/>
    </row>
    <row r="316" spans="26:26">
      <c r="Z316" s="186"/>
    </row>
    <row r="317" spans="26:26">
      <c r="Z317" s="186"/>
    </row>
    <row r="318" spans="26:26">
      <c r="Z318" s="186"/>
    </row>
    <row r="319" spans="26:26">
      <c r="Z319" s="186"/>
    </row>
    <row r="320" spans="26:26">
      <c r="Z320" s="186"/>
    </row>
    <row r="321" spans="26:26">
      <c r="Z321" s="186"/>
    </row>
    <row r="322" spans="26:26">
      <c r="Z322" s="186"/>
    </row>
    <row r="323" spans="26:26">
      <c r="Z323" s="186"/>
    </row>
    <row r="324" spans="26:26">
      <c r="Z324" s="186"/>
    </row>
    <row r="325" spans="26:26">
      <c r="Z325" s="186"/>
    </row>
    <row r="326" spans="26:26">
      <c r="Z326" s="186"/>
    </row>
    <row r="327" spans="26:26">
      <c r="Z327" s="186"/>
    </row>
    <row r="328" spans="26:26">
      <c r="Z328" s="186"/>
    </row>
    <row r="329" spans="26:26">
      <c r="Z329" s="186"/>
    </row>
    <row r="330" spans="26:26">
      <c r="Z330" s="186"/>
    </row>
    <row r="331" spans="26:26">
      <c r="Z331" s="186"/>
    </row>
    <row r="332" spans="26:26">
      <c r="Z332" s="186"/>
    </row>
    <row r="333" spans="26:26">
      <c r="Z333" s="186"/>
    </row>
    <row r="334" spans="26:26">
      <c r="Z334" s="186"/>
    </row>
    <row r="335" spans="26:26">
      <c r="Z335" s="186"/>
    </row>
    <row r="336" spans="26:26">
      <c r="Z336" s="186"/>
    </row>
    <row r="337" spans="26:26">
      <c r="Z337" s="186"/>
    </row>
    <row r="338" spans="26:26">
      <c r="Z338" s="186"/>
    </row>
    <row r="339" spans="26:26">
      <c r="Z339" s="186"/>
    </row>
    <row r="340" spans="26:26">
      <c r="Z340" s="186"/>
    </row>
    <row r="341" spans="26:26">
      <c r="Z341" s="186"/>
    </row>
    <row r="342" spans="26:26">
      <c r="Z342" s="186"/>
    </row>
    <row r="343" spans="26:26">
      <c r="Z343" s="186"/>
    </row>
    <row r="344" spans="26:26">
      <c r="Z344" s="186"/>
    </row>
    <row r="345" spans="26:26">
      <c r="Z345" s="186"/>
    </row>
    <row r="346" spans="26:26">
      <c r="Z346" s="186"/>
    </row>
    <row r="347" spans="26:26">
      <c r="Z347" s="186"/>
    </row>
    <row r="348" spans="26:26">
      <c r="Z348" s="186"/>
    </row>
    <row r="349" spans="26:26">
      <c r="Z349" s="186"/>
    </row>
    <row r="350" spans="26:26">
      <c r="Z350" s="186"/>
    </row>
    <row r="351" spans="26:26">
      <c r="Z351" s="186"/>
    </row>
    <row r="352" spans="26:26">
      <c r="Z352" s="186"/>
    </row>
    <row r="353" spans="26:26">
      <c r="Z353" s="186"/>
    </row>
  </sheetData>
  <sheetProtection sheet="1" objects="1" scenarios="1" formatCells="0" formatColumns="0" formatRows="0" sort="0" autoFilter="0"/>
  <autoFilter ref="A1:AN93" xr:uid="{4D7D4D0C-E2F2-2342-83B6-3DF9688484DF}">
    <filterColumn colId="24">
      <filters>
        <dateGroupItem year="2024" month="2" dateTimeGrouping="month"/>
        <dateGroupItem year="2023" month="11" dateTimeGrouping="month"/>
      </filters>
    </filterColumn>
  </autoFilter>
  <mergeCells count="4">
    <mergeCell ref="A115:B115"/>
    <mergeCell ref="A116:B116"/>
    <mergeCell ref="A117:B117"/>
    <mergeCell ref="A121:B121"/>
  </mergeCells>
  <conditionalFormatting sqref="D116">
    <cfRule type="cellIs" dxfId="18" priority="4" operator="equal">
      <formula>$D$117</formula>
    </cfRule>
  </conditionalFormatting>
  <conditionalFormatting sqref="D117">
    <cfRule type="cellIs" dxfId="17" priority="3" operator="equal">
      <formula>$D$116</formula>
    </cfRule>
  </conditionalFormatting>
  <conditionalFormatting sqref="C116">
    <cfRule type="cellIs" dxfId="16" priority="2" operator="equal">
      <formula>$C$117</formula>
    </cfRule>
  </conditionalFormatting>
  <conditionalFormatting sqref="C117">
    <cfRule type="cellIs" dxfId="15" priority="1" operator="equal">
      <formula>$C$116</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528E598AA1A84286996F3D759AAB77" ma:contentTypeVersion="14" ma:contentTypeDescription="Create a new document." ma:contentTypeScope="" ma:versionID="c7abf17cd67c0620b3ff97a6f179b2f1">
  <xsd:schema xmlns:xsd="http://www.w3.org/2001/XMLSchema" xmlns:xs="http://www.w3.org/2001/XMLSchema" xmlns:p="http://schemas.microsoft.com/office/2006/metadata/properties" xmlns:ns2="b2957d10-2758-4fb0-96c9-ffe4c87a6ad4" xmlns:ns3="9081a385-c01c-48ac-a838-6ea2c6c9cf0a" targetNamespace="http://schemas.microsoft.com/office/2006/metadata/properties" ma:root="true" ma:fieldsID="9bc2ae8fb51bc443dfb2498f7c8aa220" ns2:_="" ns3:_="">
    <xsd:import namespace="b2957d10-2758-4fb0-96c9-ffe4c87a6ad4"/>
    <xsd:import namespace="9081a385-c01c-48ac-a838-6ea2c6c9cf0a"/>
    <xsd:element name="properties">
      <xsd:complexType>
        <xsd:sequence>
          <xsd:element name="documentManagement">
            <xsd:complexType>
              <xsd:all>
                <xsd:element ref="ns2:_x004c_2" minOccurs="0"/>
                <xsd:element ref="ns2:MediaServiceMetadata" minOccurs="0"/>
                <xsd:element ref="ns2:MediaServiceFastMetadata" minOccurs="0"/>
                <xsd:element ref="ns3:SharedWithUsers" minOccurs="0"/>
                <xsd:element ref="ns3:SharedWithDetails" minOccurs="0"/>
                <xsd:element ref="ns2:Scope"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957d10-2758-4fb0-96c9-ffe4c87a6ad4" elementFormDefault="qualified">
    <xsd:import namespace="http://schemas.microsoft.com/office/2006/documentManagement/types"/>
    <xsd:import namespace="http://schemas.microsoft.com/office/infopath/2007/PartnerControls"/>
    <xsd:element name="_x004c_2" ma:index="2" nillable="true" ma:displayName="L2" ma:default="NONE" ma:description="WBS Number" ma:format="Dropdown" ma:internalName="_x004c_2">
      <xsd:simpleType>
        <xsd:restriction base="dms:Choice">
          <xsd:enumeration value="1.1 Project Mgmt."/>
          <xsd:enumeration value="1.2 Drill"/>
          <xsd:enumeration value="1.3 Sensors"/>
          <xsd:enumeration value="1.4 Comms, Power, Timing"/>
          <xsd:enumeration value="1.5 Calibration"/>
          <xsd:enumeration value="1.6 Integration"/>
          <xsd:enumeration value="NONE"/>
        </xsd:restriction>
      </xsd:simpleType>
    </xsd:element>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Scope" ma:index="13" nillable="true" ma:displayName="Scope" ma:format="Dropdown" ma:internalName="Scope">
      <xsd:simpleType>
        <xsd:restriction base="dms:Choice">
          <xsd:enumeration value="M &amp; O"/>
          <xsd:enumeration value="Upgrade"/>
          <xsd:enumeration value="Gen2"/>
          <xsd:enumeration value="All"/>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81a385-c01c-48ac-a838-6ea2c6c9cf0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004c_2 xmlns="b2957d10-2758-4fb0-96c9-ffe4c87a6ad4">NONE</_x004c_2>
    <Scope xmlns="b2957d10-2758-4fb0-96c9-ffe4c87a6ad4" xsi:nil="true"/>
    <SharedWithUsers xmlns="9081a385-c01c-48ac-a838-6ea2c6c9cf0a">
      <UserInfo>
        <DisplayName>Terry Benson</DisplayName>
        <AccountId>15</AccountId>
        <AccountType/>
      </UserInfo>
    </SharedWithUsers>
  </documentManagement>
</p:properties>
</file>

<file path=customXml/itemProps1.xml><?xml version="1.0" encoding="utf-8"?>
<ds:datastoreItem xmlns:ds="http://schemas.openxmlformats.org/officeDocument/2006/customXml" ds:itemID="{7C288C6E-ADAA-4477-A16E-15B6A4927308}"/>
</file>

<file path=customXml/itemProps2.xml><?xml version="1.0" encoding="utf-8"?>
<ds:datastoreItem xmlns:ds="http://schemas.openxmlformats.org/officeDocument/2006/customXml" ds:itemID="{F63CB383-6A6E-454F-B698-FC773848BF4F}"/>
</file>

<file path=customXml/itemProps3.xml><?xml version="1.0" encoding="utf-8"?>
<ds:datastoreItem xmlns:ds="http://schemas.openxmlformats.org/officeDocument/2006/customXml" ds:itemID="{7CB03C48-A041-4FF1-8766-5893231B5A1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Papitashvili, Vladimir O.</dc:creator>
  <cp:keywords/>
  <dc:description/>
  <cp:lastModifiedBy>Delia Tosi</cp:lastModifiedBy>
  <cp:revision/>
  <dcterms:created xsi:type="dcterms:W3CDTF">2021-08-22T23:40:35Z</dcterms:created>
  <dcterms:modified xsi:type="dcterms:W3CDTF">2021-11-05T13:44:53Z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0x01010046528E598AA1A84286996F3D759AAB77</vt:lpwstr>
  </property>
</Properties>
</file>